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D:\Downloads\"/>
    </mc:Choice>
  </mc:AlternateContent>
  <xr:revisionPtr revIDLastSave="0" documentId="13_ncr:1_{91837AF8-C89A-4879-999A-D9F2C3D0C2B1}" xr6:coauthVersionLast="47" xr6:coauthVersionMax="47" xr10:uidLastSave="{00000000-0000-0000-0000-000000000000}"/>
  <bookViews>
    <workbookView xWindow="-120" yWindow="-120" windowWidth="29040" windowHeight="15720" activeTab="2" xr2:uid="{00000000-000D-0000-FFFF-FFFF00000000}"/>
  </bookViews>
  <sheets>
    <sheet name="How To Use" sheetId="4" r:id="rId1"/>
    <sheet name="Revision History" sheetId="8" r:id="rId2"/>
    <sheet name="REGISTER_CONFIGURATION" sheetId="1" r:id="rId3"/>
    <sheet name="DStream .ds file" sheetId="7" r:id="rId4"/>
    <sheet name="RealView .inc file" sheetId="9" r:id="rId5"/>
  </sheets>
  <definedNames>
    <definedName name="Codex_LPDDR1_200MHz.inc" localSheetId="3">'DStream .ds file'!$A$1:$D$187</definedName>
    <definedName name="_xlnm.Print_Area" localSheetId="2">REGISTER_CONFIGURATION!$B$73:$F$114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9" l="1"/>
  <c r="A2" i="7"/>
  <c r="C89" i="9"/>
  <c r="A97" i="7"/>
  <c r="D257" i="1" l="1"/>
  <c r="D199" i="1" l="1"/>
  <c r="E76" i="1"/>
  <c r="A120" i="9" l="1"/>
  <c r="A119" i="9"/>
  <c r="A118" i="9"/>
  <c r="A117" i="9"/>
  <c r="A116" i="9"/>
  <c r="C81" i="9"/>
  <c r="C80" i="9"/>
  <c r="C79" i="9"/>
  <c r="C78" i="9"/>
  <c r="B69" i="9"/>
  <c r="B68" i="9"/>
  <c r="B67" i="9"/>
  <c r="B66" i="9"/>
  <c r="B64" i="9"/>
  <c r="B63" i="9"/>
  <c r="B62" i="9"/>
  <c r="B61" i="9"/>
  <c r="B60" i="9"/>
  <c r="A5" i="9"/>
  <c r="A5" i="7" l="1"/>
  <c r="A128" i="7" l="1"/>
  <c r="E119" i="1" l="1"/>
  <c r="C89" i="1"/>
  <c r="D87" i="1"/>
  <c r="A89" i="7" l="1"/>
  <c r="A87" i="7"/>
  <c r="A85" i="7"/>
  <c r="A83" i="7"/>
  <c r="F153" i="7" l="1"/>
  <c r="F152" i="7"/>
  <c r="F151" i="7"/>
  <c r="F150" i="7"/>
  <c r="F149" i="7"/>
  <c r="F148" i="7"/>
  <c r="F147" i="7"/>
  <c r="F146" i="7"/>
  <c r="F145" i="7"/>
  <c r="F144" i="7"/>
  <c r="F143" i="7"/>
  <c r="F142" i="7"/>
  <c r="F141" i="7"/>
  <c r="F140" i="7"/>
  <c r="F139" i="7"/>
  <c r="F138" i="7"/>
  <c r="F137" i="7"/>
  <c r="F136" i="7"/>
  <c r="F135" i="7"/>
  <c r="F111" i="7"/>
  <c r="F100" i="7"/>
  <c r="F92" i="7"/>
  <c r="F85" i="7"/>
  <c r="F81" i="7"/>
  <c r="B74" i="7"/>
  <c r="B73" i="7"/>
  <c r="B72" i="7"/>
  <c r="B71" i="7"/>
  <c r="B69" i="7"/>
  <c r="B68" i="7"/>
  <c r="B67" i="7"/>
  <c r="B66" i="7"/>
  <c r="B65" i="7"/>
  <c r="C139" i="1"/>
  <c r="D135" i="1"/>
  <c r="E135" i="1" s="1"/>
  <c r="I135" i="1" s="1"/>
  <c r="D162" i="1"/>
  <c r="E162" i="1" s="1"/>
  <c r="E114" i="1"/>
  <c r="E113" i="1"/>
  <c r="D67" i="1"/>
  <c r="E67" i="1" s="1"/>
  <c r="C28" i="1"/>
  <c r="D99" i="1" s="1"/>
  <c r="E145" i="1"/>
  <c r="E146" i="1"/>
  <c r="E147" i="1"/>
  <c r="E148" i="1"/>
  <c r="E149" i="1"/>
  <c r="E150" i="1"/>
  <c r="E239" i="1"/>
  <c r="E240" i="1"/>
  <c r="E241" i="1"/>
  <c r="E242" i="1"/>
  <c r="E243" i="1"/>
  <c r="E244" i="1"/>
  <c r="E245" i="1"/>
  <c r="E246" i="1"/>
  <c r="E247" i="1"/>
  <c r="E248" i="1"/>
  <c r="E249" i="1"/>
  <c r="E250" i="1"/>
  <c r="E251" i="1"/>
  <c r="E252" i="1"/>
  <c r="E253" i="1"/>
  <c r="E229" i="1"/>
  <c r="E230" i="1"/>
  <c r="E231" i="1"/>
  <c r="E232" i="1"/>
  <c r="E233" i="1"/>
  <c r="E234" i="1"/>
  <c r="E235" i="1"/>
  <c r="E181" i="1"/>
  <c r="E182" i="1"/>
  <c r="E183" i="1"/>
  <c r="E184" i="1"/>
  <c r="E185" i="1"/>
  <c r="E186" i="1"/>
  <c r="E187" i="1"/>
  <c r="E188" i="1"/>
  <c r="E189" i="1"/>
  <c r="D190" i="1"/>
  <c r="E190" i="1" s="1"/>
  <c r="E191" i="1"/>
  <c r="E192" i="1"/>
  <c r="E193" i="1"/>
  <c r="E194" i="1"/>
  <c r="E195" i="1"/>
  <c r="E171" i="1"/>
  <c r="E172" i="1"/>
  <c r="E173" i="1"/>
  <c r="E174" i="1"/>
  <c r="E175" i="1"/>
  <c r="E176" i="1"/>
  <c r="E177" i="1"/>
  <c r="E66" i="1"/>
  <c r="D68" i="1"/>
  <c r="E68" i="1" s="1"/>
  <c r="D69" i="1"/>
  <c r="E69" i="1" s="1"/>
  <c r="E70" i="1"/>
  <c r="E71" i="1"/>
  <c r="D139" i="1"/>
  <c r="E139" i="1" s="1"/>
  <c r="I139" i="1" s="1"/>
  <c r="E120" i="1"/>
  <c r="E121" i="1"/>
  <c r="E122" i="1"/>
  <c r="E123" i="1"/>
  <c r="E124" i="1"/>
  <c r="E125" i="1"/>
  <c r="E126" i="1"/>
  <c r="E127" i="1"/>
  <c r="D128" i="1"/>
  <c r="E128" i="1" s="1"/>
  <c r="E129" i="1"/>
  <c r="E130" i="1"/>
  <c r="E131" i="1"/>
  <c r="D220" i="1"/>
  <c r="E220" i="1" s="1"/>
  <c r="E102" i="1"/>
  <c r="E101" i="1"/>
  <c r="E100" i="1"/>
  <c r="E98" i="1"/>
  <c r="E87" i="1"/>
  <c r="D86" i="1"/>
  <c r="E86" i="1" s="1"/>
  <c r="D85" i="1"/>
  <c r="E85" i="1" s="1"/>
  <c r="D84" i="1"/>
  <c r="E84" i="1" s="1"/>
  <c r="E270" i="1"/>
  <c r="E269" i="1"/>
  <c r="E268" i="1"/>
  <c r="E267" i="1"/>
  <c r="E266" i="1"/>
  <c r="D265" i="1"/>
  <c r="E265" i="1" s="1"/>
  <c r="E260" i="1"/>
  <c r="E259" i="1"/>
  <c r="E257" i="1"/>
  <c r="E225" i="1"/>
  <c r="E224" i="1"/>
  <c r="E223" i="1"/>
  <c r="E222" i="1"/>
  <c r="E221" i="1"/>
  <c r="E219" i="1"/>
  <c r="E218" i="1"/>
  <c r="E217" i="1"/>
  <c r="E212" i="1"/>
  <c r="E211" i="1"/>
  <c r="E210" i="1"/>
  <c r="E209" i="1"/>
  <c r="E208" i="1"/>
  <c r="D207" i="1"/>
  <c r="E207" i="1" s="1"/>
  <c r="E202" i="1"/>
  <c r="E201" i="1"/>
  <c r="E199" i="1"/>
  <c r="E167" i="1"/>
  <c r="E166" i="1"/>
  <c r="E165" i="1"/>
  <c r="E164" i="1"/>
  <c r="E163" i="1"/>
  <c r="E161" i="1"/>
  <c r="E160" i="1"/>
  <c r="E159" i="1"/>
  <c r="C112" i="1"/>
  <c r="C22" i="1"/>
  <c r="E81" i="1"/>
  <c r="E80" i="1"/>
  <c r="E79" i="1"/>
  <c r="E56" i="1"/>
  <c r="E55" i="1"/>
  <c r="E54" i="1"/>
  <c r="E57" i="1"/>
  <c r="E61" i="1"/>
  <c r="E41" i="1"/>
  <c r="E42" i="1"/>
  <c r="E111" i="1"/>
  <c r="E110" i="1"/>
  <c r="E109" i="1"/>
  <c r="E108" i="1"/>
  <c r="E107" i="1"/>
  <c r="E106" i="1"/>
  <c r="E36" i="1"/>
  <c r="I36" i="1" s="1"/>
  <c r="E58" i="1"/>
  <c r="I58" i="1" s="1"/>
  <c r="C29" i="9" s="1"/>
  <c r="E35" i="1"/>
  <c r="I35" i="1" s="1"/>
  <c r="E53" i="1"/>
  <c r="I53" i="1" s="1"/>
  <c r="E52" i="1"/>
  <c r="I52" i="1" s="1"/>
  <c r="E51" i="1"/>
  <c r="I51" i="1" s="1"/>
  <c r="E59" i="1"/>
  <c r="I59" i="1" s="1"/>
  <c r="E48" i="1"/>
  <c r="E47" i="1"/>
  <c r="E46" i="1"/>
  <c r="E45" i="1"/>
  <c r="E49" i="1"/>
  <c r="E50" i="1"/>
  <c r="E44" i="1"/>
  <c r="E43" i="1"/>
  <c r="E38" i="1"/>
  <c r="E37" i="1"/>
  <c r="E39" i="1"/>
  <c r="E40" i="1"/>
  <c r="E62" i="1"/>
  <c r="I61" i="1" s="1"/>
  <c r="E103" i="1"/>
  <c r="E105" i="1"/>
  <c r="E104" i="1"/>
  <c r="F113" i="7" l="1"/>
  <c r="C105" i="9"/>
  <c r="A113" i="7"/>
  <c r="A51" i="7"/>
  <c r="C46" i="9"/>
  <c r="A56" i="7"/>
  <c r="C51" i="9"/>
  <c r="F131" i="7"/>
  <c r="C123" i="9"/>
  <c r="A131" i="7"/>
  <c r="C53" i="9"/>
  <c r="C52" i="9"/>
  <c r="A58" i="7"/>
  <c r="A57" i="7"/>
  <c r="A35" i="7"/>
  <c r="C30" i="9"/>
  <c r="A43" i="7"/>
  <c r="C38" i="9"/>
  <c r="A48" i="7"/>
  <c r="C43" i="9"/>
  <c r="C55" i="9"/>
  <c r="C54" i="9"/>
  <c r="A60" i="7"/>
  <c r="A59" i="7"/>
  <c r="B70" i="7"/>
  <c r="B65" i="9"/>
  <c r="I119" i="1"/>
  <c r="I143" i="1"/>
  <c r="D95" i="1"/>
  <c r="E95" i="1" s="1"/>
  <c r="A34" i="7"/>
  <c r="I181" i="1"/>
  <c r="D112" i="1"/>
  <c r="E112" i="1" s="1"/>
  <c r="I112" i="1" s="1"/>
  <c r="D82" i="1"/>
  <c r="E82" i="1" s="1"/>
  <c r="D94" i="1"/>
  <c r="E94" i="1" s="1"/>
  <c r="I171" i="1"/>
  <c r="D91" i="1"/>
  <c r="E91" i="1" s="1"/>
  <c r="I44" i="1"/>
  <c r="I102" i="1"/>
  <c r="I37" i="1"/>
  <c r="I106" i="1"/>
  <c r="I239" i="1"/>
  <c r="I229" i="1"/>
  <c r="D75" i="1"/>
  <c r="E75" i="1" s="1"/>
  <c r="D90" i="1"/>
  <c r="E90" i="1" s="1"/>
  <c r="E99" i="1"/>
  <c r="D258" i="1"/>
  <c r="E258" i="1" s="1"/>
  <c r="D200" i="1"/>
  <c r="E200" i="1" s="1"/>
  <c r="I159" i="1"/>
  <c r="D92" i="1"/>
  <c r="E92" i="1" s="1"/>
  <c r="D83" i="1"/>
  <c r="E83" i="1" s="1"/>
  <c r="D77" i="1"/>
  <c r="E77" i="1" s="1"/>
  <c r="D96" i="1"/>
  <c r="E96" i="1" s="1"/>
  <c r="D89" i="1"/>
  <c r="E89" i="1" s="1"/>
  <c r="I39" i="1"/>
  <c r="I41" i="1"/>
  <c r="I217" i="1"/>
  <c r="D264" i="1"/>
  <c r="E264" i="1" s="1"/>
  <c r="D78" i="1"/>
  <c r="E78" i="1" s="1"/>
  <c r="D97" i="1"/>
  <c r="E97" i="1" s="1"/>
  <c r="D88" i="1"/>
  <c r="E88" i="1" s="1"/>
  <c r="I54" i="1"/>
  <c r="F132" i="7"/>
  <c r="I66" i="1"/>
  <c r="I79" i="1" l="1"/>
  <c r="I75" i="1"/>
  <c r="F112" i="7"/>
  <c r="C104" i="9"/>
  <c r="A112" i="7"/>
  <c r="C106" i="9"/>
  <c r="A114" i="7"/>
  <c r="F109" i="7"/>
  <c r="C101" i="9"/>
  <c r="A109" i="7"/>
  <c r="A46" i="7"/>
  <c r="C42" i="9"/>
  <c r="C41" i="9"/>
  <c r="F119" i="7"/>
  <c r="C111" i="9"/>
  <c r="A119" i="7"/>
  <c r="C37" i="9"/>
  <c r="C36" i="9"/>
  <c r="C47" i="9"/>
  <c r="C48" i="9"/>
  <c r="C124" i="9"/>
  <c r="A132" i="7"/>
  <c r="A117" i="7"/>
  <c r="C109" i="9"/>
  <c r="C102" i="9"/>
  <c r="A110" i="7"/>
  <c r="A124" i="7"/>
  <c r="C116" i="9"/>
  <c r="A44" i="7"/>
  <c r="C39" i="9"/>
  <c r="A38" i="7"/>
  <c r="C33" i="9"/>
  <c r="F118" i="7"/>
  <c r="C110" i="9"/>
  <c r="A118" i="7"/>
  <c r="F125" i="7"/>
  <c r="C117" i="9"/>
  <c r="A125" i="7"/>
  <c r="F126" i="7"/>
  <c r="C118" i="9"/>
  <c r="A126" i="7"/>
  <c r="A52" i="7"/>
  <c r="A53" i="7"/>
  <c r="A47" i="7"/>
  <c r="D203" i="1"/>
  <c r="E203" i="1" s="1"/>
  <c r="D261" i="1"/>
  <c r="E261" i="1" s="1"/>
  <c r="A41" i="7"/>
  <c r="A42" i="7"/>
  <c r="I82" i="1"/>
  <c r="D206" i="1"/>
  <c r="E206" i="1" s="1"/>
  <c r="D263" i="1"/>
  <c r="E263" i="1" s="1"/>
  <c r="D262" i="1"/>
  <c r="E262" i="1" s="1"/>
  <c r="D204" i="1"/>
  <c r="E204" i="1" s="1"/>
  <c r="I94" i="1"/>
  <c r="E93" i="1"/>
  <c r="I88" i="1" s="1"/>
  <c r="D205" i="1"/>
  <c r="E205" i="1" s="1"/>
  <c r="F110" i="7"/>
  <c r="F124" i="7"/>
  <c r="F117" i="7"/>
  <c r="A106" i="7" l="1"/>
  <c r="C98" i="9"/>
  <c r="A108" i="7"/>
  <c r="C100" i="9"/>
  <c r="C125" i="9"/>
  <c r="A133" i="7"/>
  <c r="C99" i="9"/>
  <c r="A107" i="7"/>
  <c r="F105" i="7"/>
  <c r="C97" i="9"/>
  <c r="A105" i="7"/>
  <c r="I199" i="1"/>
  <c r="I257" i="1"/>
  <c r="F106" i="7"/>
  <c r="F107" i="7"/>
  <c r="F108" i="7"/>
  <c r="F114" i="7"/>
  <c r="C119" i="9" l="1"/>
  <c r="A127" i="7"/>
  <c r="C112" i="9"/>
  <c r="A120" i="7"/>
  <c r="F127" i="7"/>
  <c r="F12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b35079</author>
  </authors>
  <commentList>
    <comment ref="C75" authorId="0" shapeId="0" xr:uid="{00000000-0006-0000-0200-000001000000}">
      <text>
        <r>
          <rPr>
            <sz val="9"/>
            <color indexed="81"/>
            <rFont val="Tahoma"/>
            <family val="2"/>
          </rPr>
          <t xml:space="preserve">Greater of 3CK or 7.5ns
</t>
        </r>
      </text>
    </comment>
    <comment ref="C77" authorId="0" shapeId="0" xr:uid="{00000000-0006-0000-0200-000002000000}">
      <text>
        <r>
          <rPr>
            <sz val="9"/>
            <color indexed="81"/>
            <rFont val="Tahoma"/>
            <family val="2"/>
          </rPr>
          <t>MIN=greater of 5CK or 10ns</t>
        </r>
      </text>
    </comment>
    <comment ref="C78" authorId="0" shapeId="0" xr:uid="{00000000-0006-0000-0200-000003000000}">
      <text>
        <r>
          <rPr>
            <sz val="9"/>
            <color indexed="81"/>
            <rFont val="Tahoma"/>
            <family val="2"/>
          </rPr>
          <t xml:space="preserve">MIN=greater of 5CK or 10ns
</t>
        </r>
      </text>
    </comment>
    <comment ref="D79" authorId="0" shapeId="0" xr:uid="{00000000-0006-0000-0200-000004000000}">
      <text>
        <r>
          <rPr>
            <sz val="9"/>
            <color indexed="81"/>
            <rFont val="Tahoma"/>
            <family val="2"/>
          </rPr>
          <t xml:space="preserve">leaving set per recommendation in note
</t>
        </r>
      </text>
    </comment>
    <comment ref="D80" authorId="0" shapeId="0" xr:uid="{00000000-0006-0000-0200-000005000000}">
      <text>
        <r>
          <rPr>
            <sz val="9"/>
            <color indexed="81"/>
            <rFont val="Tahoma"/>
            <family val="2"/>
          </rPr>
          <t xml:space="preserve">using FSL optimal value
</t>
        </r>
      </text>
    </comment>
    <comment ref="D81" authorId="0" shapeId="0" xr:uid="{00000000-0006-0000-0200-000006000000}">
      <text>
        <r>
          <rPr>
            <sz val="9"/>
            <color indexed="81"/>
            <rFont val="Tahoma"/>
            <family val="2"/>
          </rPr>
          <t xml:space="preserve">leaving set per recommendation in note
</t>
        </r>
      </text>
    </comment>
    <comment ref="C82" authorId="0" shapeId="0" xr:uid="{00000000-0006-0000-0200-000007000000}">
      <text>
        <r>
          <rPr>
            <sz val="9"/>
            <color indexed="81"/>
            <rFont val="Tahoma"/>
            <family val="2"/>
          </rPr>
          <t>min =2 
max = 8.5 ns</t>
        </r>
      </text>
    </comment>
    <comment ref="C88" authorId="0" shapeId="0" xr:uid="{00000000-0006-0000-0200-000008000000}">
      <text>
        <r>
          <rPr>
            <sz val="9"/>
            <color indexed="81"/>
            <rFont val="Tahoma"/>
            <family val="2"/>
          </rPr>
          <t>Micron 2Gb DDR3L-800 setting</t>
        </r>
      </text>
    </comment>
    <comment ref="C89" authorId="0" shapeId="0" xr:uid="{00000000-0006-0000-0200-000009000000}">
      <text>
        <r>
          <rPr>
            <sz val="9"/>
            <color indexed="81"/>
            <rFont val="Tahoma"/>
            <family val="2"/>
          </rPr>
          <t>min of 5CK or tRFC+10ns</t>
        </r>
      </text>
    </comment>
    <comment ref="C90" authorId="0" shapeId="0" xr:uid="{00000000-0006-0000-0200-00000A000000}">
      <text>
        <r>
          <rPr>
            <sz val="9"/>
            <color indexed="81"/>
            <rFont val="Tahoma"/>
            <family val="2"/>
          </rPr>
          <t xml:space="preserve">min of 3CK or 7.5ns
</t>
        </r>
      </text>
    </comment>
    <comment ref="C91" authorId="0" shapeId="0" xr:uid="{00000000-0006-0000-0200-00000B000000}">
      <text>
        <r>
          <rPr>
            <sz val="9"/>
            <color indexed="81"/>
            <rFont val="Tahoma"/>
            <family val="2"/>
          </rPr>
          <t xml:space="preserve">max of 10CK or 24ns
</t>
        </r>
      </text>
    </comment>
    <comment ref="C97" authorId="0" shapeId="0" xr:uid="{00000000-0006-0000-0200-00000C000000}">
      <text>
        <r>
          <rPr>
            <sz val="9"/>
            <color indexed="81"/>
            <rFont val="Tahoma"/>
            <family val="2"/>
          </rPr>
          <t xml:space="preserve">min 15CK
</t>
        </r>
      </text>
    </comment>
    <comment ref="D100" authorId="0" shapeId="0" xr:uid="{00000000-0006-0000-0200-00000D000000}">
      <text>
        <r>
          <rPr>
            <sz val="9"/>
            <color indexed="81"/>
            <rFont val="Tahoma"/>
            <family val="2"/>
          </rPr>
          <t xml:space="preserve">tMOD = 12
</t>
        </r>
      </text>
    </comment>
    <comment ref="D103" authorId="0" shapeId="0" xr:uid="{00000000-0006-0000-0200-00000E000000}">
      <text>
        <r>
          <rPr>
            <sz val="9"/>
            <color indexed="81"/>
            <rFont val="Tahoma"/>
            <family val="2"/>
          </rPr>
          <t xml:space="preserve">min 4CK or 7.5ns
</t>
        </r>
      </text>
    </comment>
    <comment ref="D104" authorId="0" shapeId="0" xr:uid="{00000000-0006-0000-0200-00000F000000}">
      <text>
        <r>
          <rPr>
            <sz val="9"/>
            <color indexed="81"/>
            <rFont val="Tahoma"/>
            <family val="2"/>
          </rPr>
          <t xml:space="preserve">min 4CK or 7.5ns
</t>
        </r>
      </text>
    </comment>
    <comment ref="D105" authorId="0" shapeId="0" xr:uid="{00000000-0006-0000-0200-000010000000}">
      <text>
        <r>
          <rPr>
            <sz val="9"/>
            <color indexed="81"/>
            <rFont val="Tahoma"/>
            <family val="2"/>
          </rPr>
          <t xml:space="preserve">min 4CK or 10ns
</t>
        </r>
      </text>
    </comment>
    <comment ref="C112" authorId="0" shapeId="0" xr:uid="{00000000-0006-0000-0200-000011000000}">
      <text>
        <r>
          <rPr>
            <sz val="9"/>
            <color indexed="81"/>
            <rFont val="Tahoma"/>
            <family val="2"/>
          </rPr>
          <t xml:space="preserve">min 5CK or tRFC+10ns
</t>
        </r>
      </text>
    </comment>
    <comment ref="C135" authorId="0" shapeId="0" xr:uid="{00000000-0006-0000-0200-000012000000}">
      <text>
        <r>
          <rPr>
            <b/>
            <sz val="9"/>
            <color indexed="81"/>
            <rFont val="Tahoma"/>
            <family val="2"/>
          </rPr>
          <t>64ms/8192</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dex_LPDDR1_200MHz1.inc" type="6" refreshedVersion="3" deleted="1" background="1" saveData="1">
    <textPr codePage="932" sourceFile="C:\Documents and Settings\mwilliamson\Desktop\Codex_LPDDR1_200MHz.inc.txt" delimited="0">
      <textFields count="4">
        <textField/>
        <textField position="11"/>
        <textField position="24"/>
        <textField position="34"/>
      </textFields>
    </textPr>
  </connection>
</connections>
</file>

<file path=xl/sharedStrings.xml><?xml version="1.0" encoding="utf-8"?>
<sst xmlns="http://schemas.openxmlformats.org/spreadsheetml/2006/main" count="1242" uniqueCount="705">
  <si>
    <t>-</t>
  </si>
  <si>
    <t>Notes</t>
  </si>
  <si>
    <t>value from DDR data sheet (ns)</t>
  </si>
  <si>
    <t>Register name</t>
  </si>
  <si>
    <t>Register address</t>
  </si>
  <si>
    <t>Register value (HEX)</t>
  </si>
  <si>
    <t>N/A</t>
  </si>
  <si>
    <t>bit setting within register</t>
  </si>
  <si>
    <t>control bit setting (decimal)</t>
  </si>
  <si>
    <t>Memory type:</t>
  </si>
  <si>
    <t>Memory part number:</t>
  </si>
  <si>
    <t>0x00000000</t>
  </si>
  <si>
    <t>0x00009c40</t>
  </si>
  <si>
    <t>0x015dc002</t>
  </si>
  <si>
    <t>0x01010101</t>
  </si>
  <si>
    <t>0x01000202</t>
  </si>
  <si>
    <t>0x00000001</t>
  </si>
  <si>
    <t>0x0000ffff</t>
  </si>
  <si>
    <t>0x02020000</t>
  </si>
  <si>
    <t>0x02020202</t>
  </si>
  <si>
    <t>0x00000202</t>
  </si>
  <si>
    <t>0x01010064</t>
  </si>
  <si>
    <t>0x00010101</t>
  </si>
  <si>
    <t>0x00000064</t>
  </si>
  <si>
    <t>0x02000602</t>
  </si>
  <si>
    <t>0x06120000</t>
  </si>
  <si>
    <t>0x06120612</t>
  </si>
  <si>
    <t>0x01030612</t>
  </si>
  <si>
    <t>0x00010002</t>
  </si>
  <si>
    <t>0x00001000</t>
  </si>
  <si>
    <t>Register address (HEX)</t>
  </si>
  <si>
    <t>DSE</t>
  </si>
  <si>
    <t>001</t>
  </si>
  <si>
    <t>010</t>
  </si>
  <si>
    <t>011</t>
  </si>
  <si>
    <t>100</t>
  </si>
  <si>
    <t>101</t>
  </si>
  <si>
    <t>111</t>
  </si>
  <si>
    <t>000: output driver disabled
001: Weakest
...
111: Strongest</t>
  </si>
  <si>
    <t>Binary Setting</t>
  </si>
  <si>
    <t>x8</t>
  </si>
  <si>
    <t>x16</t>
  </si>
  <si>
    <t>x32</t>
  </si>
  <si>
    <t>Device Information</t>
  </si>
  <si>
    <t>Clock Cycle Time (ns)</t>
  </si>
  <si>
    <t>Instructions</t>
  </si>
  <si>
    <t>mDDR</t>
  </si>
  <si>
    <t>LPDDR2</t>
  </si>
  <si>
    <t>DDR2</t>
  </si>
  <si>
    <t>Manufacturer:</t>
  </si>
  <si>
    <t>Original Values (Delete Later)</t>
  </si>
  <si>
    <t>Difference?</t>
  </si>
  <si>
    <t xml:space="preserve">Shaded cells may require updating per the DRAM memory data sheet parameters. Certain registers should not need to be modified by the user. If a register is not provided then it is assumed this parameter is not to be changed per the provided initialization script.Certain registers are provided though they may be noted as recommended to not change. </t>
  </si>
  <si>
    <t>Legend</t>
  </si>
  <si>
    <t>On other tabs, this color indicates the cells that are affected by changes on the Register Configuration tab.</t>
  </si>
  <si>
    <t>On Register Configuration Tab, this color indicates the bitfields that would commonly require updating.</t>
  </si>
  <si>
    <t>Clock Cycle or Binary Setting</t>
  </si>
  <si>
    <t>000</t>
  </si>
  <si>
    <t>Revision History</t>
  </si>
  <si>
    <t>00</t>
  </si>
  <si>
    <t>01</t>
  </si>
  <si>
    <t>10</t>
  </si>
  <si>
    <t>11</t>
  </si>
  <si>
    <t>On Register Configuration Tab, this color indicates the bitfields that may be updated, but should typically not require it.</t>
  </si>
  <si>
    <t>tCKE</t>
  </si>
  <si>
    <t>tCKSRX</t>
  </si>
  <si>
    <t>tCKSRE</t>
  </si>
  <si>
    <t>MDPDC</t>
  </si>
  <si>
    <t>0x021B0004</t>
  </si>
  <si>
    <t>tAOFPD</t>
  </si>
  <si>
    <t>tAONPD</t>
  </si>
  <si>
    <t>tANPD</t>
  </si>
  <si>
    <t>tAXPD</t>
  </si>
  <si>
    <t>tODTLon</t>
  </si>
  <si>
    <t>tODT_idle_off</t>
  </si>
  <si>
    <t>MDOTC</t>
  </si>
  <si>
    <t>0x021B0008</t>
  </si>
  <si>
    <t>MDCFG0</t>
  </si>
  <si>
    <t>0x021B000C</t>
  </si>
  <si>
    <t>tXP</t>
  </si>
  <si>
    <t>tXPDLL</t>
  </si>
  <si>
    <t>tCL</t>
  </si>
  <si>
    <t>tRFC</t>
  </si>
  <si>
    <t>MDCFG1</t>
  </si>
  <si>
    <t>0x021B0010</t>
  </si>
  <si>
    <t xml:space="preserve">tRCD </t>
  </si>
  <si>
    <t xml:space="preserve">tRP </t>
  </si>
  <si>
    <t>tRC</t>
  </si>
  <si>
    <t xml:space="preserve">tRAS </t>
  </si>
  <si>
    <t>tRPA</t>
  </si>
  <si>
    <t xml:space="preserve">tWR </t>
  </si>
  <si>
    <t xml:space="preserve">tMRD </t>
  </si>
  <si>
    <t>tCWL</t>
  </si>
  <si>
    <t>MDCFG2</t>
  </si>
  <si>
    <t>0x021B0014</t>
  </si>
  <si>
    <t>tDLLK</t>
  </si>
  <si>
    <t>tRTP</t>
  </si>
  <si>
    <t>tWTR</t>
  </si>
  <si>
    <t>tRRD</t>
  </si>
  <si>
    <t>0x021B0030</t>
  </si>
  <si>
    <t>MDOR</t>
  </si>
  <si>
    <t>tXPR</t>
  </si>
  <si>
    <t>SDE_to_RST</t>
  </si>
  <si>
    <t>RST_to_CKE</t>
  </si>
  <si>
    <t>MMDC timing parameter (DDR device timing parameter)</t>
  </si>
  <si>
    <t>MMDC Parameter</t>
  </si>
  <si>
    <t>MDASP</t>
  </si>
  <si>
    <t>0x021B0040</t>
  </si>
  <si>
    <t>Refresh Rate</t>
  </si>
  <si>
    <t>MDREF</t>
  </si>
  <si>
    <t>0x021B0020</t>
  </si>
  <si>
    <t>REFR</t>
  </si>
  <si>
    <t>MMDC Control Parameter</t>
  </si>
  <si>
    <t>MDCTL</t>
  </si>
  <si>
    <t>0x021B0000</t>
  </si>
  <si>
    <t>SDE_0</t>
  </si>
  <si>
    <t>SDE_1</t>
  </si>
  <si>
    <t>ROW</t>
  </si>
  <si>
    <t>COL</t>
  </si>
  <si>
    <t>BL</t>
  </si>
  <si>
    <t>DSIZ</t>
  </si>
  <si>
    <t xml:space="preserve">ROW: number of ROW addresses. NOTE: this value is taken from the Device Information table above. Modify this value only in the table above. </t>
  </si>
  <si>
    <t xml:space="preserve">COL number of Column addresses. NOTE: : this value is taken from the Device Information table above. Modify this value only in the table above. </t>
  </si>
  <si>
    <t>MDMISC</t>
  </si>
  <si>
    <t>0x021B0018</t>
  </si>
  <si>
    <t>CALIB_PER_CS</t>
  </si>
  <si>
    <t>tFAW</t>
  </si>
  <si>
    <t>ADDR_MIRROR</t>
  </si>
  <si>
    <t>LHD</t>
  </si>
  <si>
    <t>WALAT</t>
  </si>
  <si>
    <t>BI_ON</t>
  </si>
  <si>
    <t>LPDDR2_S2</t>
  </si>
  <si>
    <t>MIF3_MODE</t>
  </si>
  <si>
    <t>RALAT</t>
  </si>
  <si>
    <t>DDR_4_BANK</t>
  </si>
  <si>
    <t>DDR_TYPE</t>
  </si>
  <si>
    <t>LPDDR2_2CH</t>
  </si>
  <si>
    <t>RST</t>
  </si>
  <si>
    <t>BI_ON: Bank Interleaving On. Recommend to set this bit to enable bank interleaving; improves performance.</t>
  </si>
  <si>
    <t>Set to 0 for normal operation.</t>
  </si>
  <si>
    <t>MIF3_MODE: Command prediction working mode; set to 0x3 for optimal performance.</t>
  </si>
  <si>
    <t xml:space="preserve">LHD: Latency hiding disable. Recommend to clear this bit to enable latency hiding and improve performance. </t>
  </si>
  <si>
    <t>Mode register programming sequence</t>
  </si>
  <si>
    <t>MDSCR</t>
  </si>
  <si>
    <t>0x021B001C</t>
  </si>
  <si>
    <t>CON_REQ</t>
  </si>
  <si>
    <t>WL_EN</t>
  </si>
  <si>
    <t>CMD</t>
  </si>
  <si>
    <t>CMD_CS</t>
  </si>
  <si>
    <t>CMD_BA</t>
  </si>
  <si>
    <t>CMD: set to 0x3 for load mode register command.</t>
  </si>
  <si>
    <t xml:space="preserve">Determines which chip select command is targetted to. </t>
  </si>
  <si>
    <t>If CS0 populated</t>
  </si>
  <si>
    <t>Configuration request - set to 1 for this operation.</t>
  </si>
  <si>
    <t>Set to 0; not applicable to mode register programming.</t>
  </si>
  <si>
    <t>Pad Register value (HEX)</t>
  </si>
  <si>
    <t>DDR_INPUT</t>
  </si>
  <si>
    <t xml:space="preserve">IOMUXC_SW_PAD_CTL_PAD_DRAM_CAS
IOMUXC_SW_PAD_CTL_PAD_DRAM_RAS
</t>
  </si>
  <si>
    <t xml:space="preserve">IOMUXC_SW_PAD_CTL_PAD_DRAM_RESET
</t>
  </si>
  <si>
    <t>HYS</t>
  </si>
  <si>
    <t>PUS</t>
  </si>
  <si>
    <t>PUE</t>
  </si>
  <si>
    <t>PKE</t>
  </si>
  <si>
    <t>ODT</t>
  </si>
  <si>
    <t xml:space="preserve">IOMUXC_SW_PAD_CTL_PAD_DRAM_SDODT0
IOMUXC_SW_PAD_CTL_PAD_DRAM_SDODT1
</t>
  </si>
  <si>
    <t>DRAM_RESET</t>
  </si>
  <si>
    <t>IOMUXC_SW_PAD_CTL_PAD_DRAM_ADDDS</t>
  </si>
  <si>
    <t>IOMUXC_SW_PAD_CTL_GRP_CTLDS</t>
  </si>
  <si>
    <t>DDRMODE_CTL</t>
  </si>
  <si>
    <t>DDRMODE</t>
  </si>
  <si>
    <t>IOMUXC_SW_PAD_CTL_GRP_DDRMODE_CTL</t>
  </si>
  <si>
    <t>DDRPKE</t>
  </si>
  <si>
    <t>IOMUXC_SW_PAD_CTL_GRP_DDRPKE</t>
  </si>
  <si>
    <t>IOMUXC_SW_PAD_CTL_GRP_DDR_TYPE</t>
  </si>
  <si>
    <t>IOMUXC_SW_PAD_CTL_GRP_DDRMODE</t>
  </si>
  <si>
    <t>DDR_SEL</t>
  </si>
  <si>
    <t>DRAM Pad Name</t>
  </si>
  <si>
    <t>Field (i.e. DSE)</t>
  </si>
  <si>
    <t xml:space="preserve">Pull / Keep Enable Field for DDR pads
0: Pull/Keeper Disabled (recommended)
1: Pull/Keeper Enabled </t>
  </si>
  <si>
    <t>DDR Select Field
Select one out of next values for group: DDR_TYPE for all DDR address, data, and control pads
00: reserved
01: reserved
10: LPDDR2 mode (240Ohm driver unit calibration, 240, 120, 80, 60, 48, 40, 34 Ohm drive strengths) at 1.2V power 
11: DDR3 mode (240Ohm driver unit calibration, 240, 120, 80, 60, 48, 40, 34 Ohm drive strengths) at 1.5V power (required for DDR3)</t>
  </si>
  <si>
    <t>0: CMOS mode (recommended)
1: Differential input mode</t>
  </si>
  <si>
    <t>CAS, RAS</t>
  </si>
  <si>
    <r>
      <t xml:space="preserve">ADDDS
</t>
    </r>
    <r>
      <rPr>
        <sz val="8"/>
        <rFont val="Arial"/>
        <family val="2"/>
      </rPr>
      <t>(DRAM Address pads A[15:0] and SDBA[2:0])</t>
    </r>
  </si>
  <si>
    <r>
      <t xml:space="preserve">CTLDS
</t>
    </r>
    <r>
      <rPr>
        <sz val="8"/>
        <rFont val="Arial"/>
        <family val="2"/>
      </rPr>
      <t>(DRAM Control pads CS0, CS1, SDBA2, SDCKE0, SDCKE1, SDWE)</t>
    </r>
  </si>
  <si>
    <t>SDODT0, SDODT1</t>
  </si>
  <si>
    <t>Pull Up / Down Config. Field
00: 100KOhm Pull Down (recommended)
01: 47KOhm Pull Up
10: 100KOhm Pull Up
11: 22KOhm Pull Up</t>
  </si>
  <si>
    <t>Pull / Keep Select Field
0: Keeper
1: Pull (recommended)</t>
  </si>
  <si>
    <t>On Die Termination Field
000: off (recommended)
001 120 Ohm ODT
…
110 20 Ohm ODT
111 RESERVED</t>
  </si>
  <si>
    <t>Automatically Updated Setting</t>
  </si>
  <si>
    <t>On Register Configuration Tab, this color indicates the bitfields that are updated automatically from setting provided in the "Device Information" table or other cells, and should not be changed manually</t>
  </si>
  <si>
    <t>1. Important: it is necessary to populate this field with the density in Gbits as it is used later in the CS0_END calculation. This field is cacluated from the previous two fields. The user can also simply type in the total density as well in this field.</t>
  </si>
  <si>
    <t>2. Important, these fields need to be filled out correctly as these values are used later in this tool for register settings.</t>
  </si>
  <si>
    <r>
      <t>Clock Cycle Freq (MHz)</t>
    </r>
    <r>
      <rPr>
        <vertAlign val="superscript"/>
        <sz val="10"/>
        <rFont val="Arial"/>
        <family val="2"/>
      </rPr>
      <t>3</t>
    </r>
  </si>
  <si>
    <r>
      <t>Number of ROW Addresses</t>
    </r>
    <r>
      <rPr>
        <vertAlign val="superscript"/>
        <sz val="10"/>
        <rFont val="Arial"/>
        <family val="2"/>
      </rPr>
      <t>2</t>
    </r>
  </si>
  <si>
    <r>
      <t>Number of COLUMN Addresses</t>
    </r>
    <r>
      <rPr>
        <vertAlign val="superscript"/>
        <sz val="10"/>
        <rFont val="Arial"/>
        <family val="2"/>
      </rPr>
      <t>2</t>
    </r>
  </si>
  <si>
    <r>
      <t>Number of BANKS</t>
    </r>
    <r>
      <rPr>
        <vertAlign val="superscript"/>
        <sz val="10"/>
        <rFont val="Arial"/>
        <family val="2"/>
      </rPr>
      <t>2</t>
    </r>
  </si>
  <si>
    <t>On Register Configuration Tab, an unshaded cell means that the value should remain as is and should not be modified. In these cases, the settings are provided for completeness.</t>
  </si>
  <si>
    <t>How to use the DRAM register programming aid outline</t>
  </si>
  <si>
    <t>Step 1. Obtain the desired DRAM data sheet from the DRAM vendor</t>
  </si>
  <si>
    <t>The following are to be completed in the Register Configuration Worksheet tab.</t>
  </si>
  <si>
    <t xml:space="preserve">Step 2. Update the Device Information table to include the DRAM information and system usage </t>
  </si>
  <si>
    <t>Step 3. Go through the various shaded cells in the spread sheet to update with data from the DRAM sheet (take special note of the “Legend” table to ascertain the meaning of different shaded cells; in many cases, the cells may not need to be updated).</t>
  </si>
  <si>
    <t>Total DRAM density (Gb)</t>
  </si>
  <si>
    <t>CALIB_PER_CS: determines which chip select the associated calibration is targetted to. Set to 0 for CS0 or 1 for CS1. Note if both chip selects are populated, recommend to set to 0.</t>
  </si>
  <si>
    <t xml:space="preserve">WALAT: Write Additional latency. Recommend to clear these bits. Proper board design should ensure that the DRAM devices are placed close enough to the MMDC to ensure the shew between CLK and DQS is less than 1 cycle. </t>
  </si>
  <si>
    <t>MDRWD</t>
  </si>
  <si>
    <t>tDAI</t>
  </si>
  <si>
    <t>RTW_SAME</t>
  </si>
  <si>
    <t>WTR_DIFF</t>
  </si>
  <si>
    <t>WTW_DIFF</t>
  </si>
  <si>
    <t>RTW_DIFF</t>
  </si>
  <si>
    <t>RTR_DIFF</t>
  </si>
  <si>
    <t>Read to write delay for the same chip-select. Recommend to leave at default value.</t>
  </si>
  <si>
    <t>Write to read delay for different chip-select.  Recommend to leave at default value.</t>
  </si>
  <si>
    <t>Write to write delay for different chip-select.  Recommend to leave at default value.</t>
  </si>
  <si>
    <t>Read to write delay for different chip-select.  Recommend to leave at default value.</t>
  </si>
  <si>
    <t>Read to read delay for different chip-select.  Recommend to leave at default value.</t>
  </si>
  <si>
    <t>0x021B002C</t>
  </si>
  <si>
    <t>CS0_END (Channel 0)</t>
  </si>
  <si>
    <t xml:space="preserve">Note: DO NOT change the values directly in these cells, instead, program the Density of each DDR device and number of devices in the cells at the top of the page. End Address is calculated from cells above: Density of each DDR device multiplies by the number of devices per chip select, then add offset of 256MB.  Note that the total DDR density on CS0 is offset by 0x8000000, which is the starting address of the CS0 memory region.  Hence the CS0_END is the sum of the DDR density on CS0 with offset 0x80000000. </t>
  </si>
  <si>
    <r>
      <t>Number of Chip Selects per channel used</t>
    </r>
    <r>
      <rPr>
        <vertAlign val="superscript"/>
        <sz val="10"/>
        <rFont val="Arial"/>
        <family val="2"/>
      </rPr>
      <t>2</t>
    </r>
  </si>
  <si>
    <t>Density per chip select (Gb):</t>
  </si>
  <si>
    <t>3.Needed for timing calculations</t>
  </si>
  <si>
    <t xml:space="preserve">Pull / Keep Enable Field
0: Pull/Keeper Disabled
1: Pull/Keeper Enabled </t>
  </si>
  <si>
    <t>Pull Up / Down Config. Field
00: 100KOhm Pull Down
01: 47KOhm Pull Up
10: 100KOhm Pull Up
11: 22KOhm Pull Up</t>
  </si>
  <si>
    <t>0: Hysteresis disable 
1: Hysteresis enable</t>
  </si>
  <si>
    <t>0: CMOS mode
1: Differential input mode</t>
  </si>
  <si>
    <t>This register should to be programmed in two steps:
First the general timings are applied</t>
  </si>
  <si>
    <t>PWDT_1</t>
  </si>
  <si>
    <t>Second, apply the power down time out settings.</t>
  </si>
  <si>
    <t>PWDT_0</t>
  </si>
  <si>
    <t xml:space="preserve">Power Down Timer - Chip Select 0. Freescale validation determined a value of 5 was the most optimal.  </t>
  </si>
  <si>
    <t>BOTH_CS_PD</t>
  </si>
  <si>
    <t>Parallel power down entry to both chip selects. Leave this set so that both chip selects will enter power down together. For systems with only one chip select, this bit doesn't apply, but keeping it set will allow backwards compatibility with systems with two chip selects.</t>
  </si>
  <si>
    <t>MPRDDLCTL PHY0</t>
  </si>
  <si>
    <t>MPWRDLCTL PHY0</t>
  </si>
  <si>
    <t xml:space="preserve">These parameters are determined after running calibration.  The parameters provided here are from Freescale's development board and will work as initial values. Update these values after running calibration. </t>
  </si>
  <si>
    <t>0x021b0848</t>
  </si>
  <si>
    <t>0x021b0850</t>
  </si>
  <si>
    <t>SDCLK_0</t>
  </si>
  <si>
    <t xml:space="preserve">DDR_4_BANK: set to 0 for 8 banks, 1 for 4 banks. NOTE: this value is taken from the Device Information table above. Modify this value only in the table above. </t>
  </si>
  <si>
    <t>RALAT: Read Additional Latency. This field determines the additional read latency which is added to CAS latency
and internal delays for which the MMDC will retrieve the read data from the internal FIFO. This field is
used to compensate on board/chip delays.
NOTE: In LPDDR2 mode 2 extra cycles will be added internally in order to compensate tDQSCK delay.
0x0 no additional latency.
0x1 1 cycle additional latency.
0x2 2 cycles additional latency.
0x3 3 cycles additional latency.
0x4 4 cycles additional latency.
0x5 5 cycles additional latency.
0x6 6 cycles additional latency.
0x7 7 cycles additional latency.</t>
  </si>
  <si>
    <t>DDR3</t>
  </si>
  <si>
    <t>Micron</t>
  </si>
  <si>
    <t>Pull / Keep Select Field
0: Keeper
1: Pull</t>
  </si>
  <si>
    <t>BL: Burst length. For DDR3 set to 1 for burst length 8.</t>
  </si>
  <si>
    <t>DDR3 mode - set to 0. Do not change.</t>
  </si>
  <si>
    <t>should be set to 0</t>
  </si>
  <si>
    <t>Device auto initialization period.(maximum)
This field is relevant only to LPDDR2 mode
0x0 1 cycle
0xF9F 4000 cycles (Default, JEDEC value for LPDDR2, gives 10us at 400MHz clock).
0x1FFF 8192 cycles
Leave it be for DDR3</t>
  </si>
  <si>
    <t>tXPR - Obtain this value from DDR3 data sheet.</t>
  </si>
  <si>
    <t>MDREF register setting.  Note, only parameter REFR is programmable, all other paramters are fixed as follows: 
REF_CNT: 0x0 (default value, parameter not used)
REF_SEL: 0x0 (choose 64KHz clock to trigger refresh cycle)
START_REF: Manually start refresh cycle, set to 0 for normal operations
The refresh rate is based on the number of refresh cycles required in a 64ms time window.
Note that DDR3 and LPDDR2 device data sheets differ regarding this parameter, so may special attention when programming this.  
For example, for DDR3, the refresh window is 64ms.  If the required number of refresh commands is 8192, then type in 8192 in the Refresh Rate cell.</t>
  </si>
  <si>
    <t>Order of programming: MR2, MR3, MR1, MR0</t>
  </si>
  <si>
    <t>DDR3 MR2 Parameter or MMDC MDSCR Parameter</t>
  </si>
  <si>
    <t>MR2: RTT</t>
  </si>
  <si>
    <t>Dynamic ODT (RTT(WR)). 00-disable; 01-RZQ/4; 10-RZQ/2; 11-reserved (RZQ=240ohm)</t>
  </si>
  <si>
    <t>MR2: SRT</t>
  </si>
  <si>
    <t>SRT: Self refresh temperature, set to 0 for normal operation</t>
  </si>
  <si>
    <t>MR2: ASR</t>
  </si>
  <si>
    <t>ASR: Auto self refresh, set to 0 for normal operation</t>
  </si>
  <si>
    <t>MR2: CWL</t>
  </si>
  <si>
    <t>CAS Write Latency. This value is taken from the MMDC tCWL paramter setting above. Do not modify this bit as it is automatically programmed.</t>
  </si>
  <si>
    <t>CMD_BA - set to 0x2 for MR2</t>
  </si>
  <si>
    <t>DDR3 MR3 Parameter or MMDC MDSCR Parameter</t>
  </si>
  <si>
    <t>MR3: MPR</t>
  </si>
  <si>
    <t>MPR enable - set to 0 for normal operation</t>
  </si>
  <si>
    <t>MR3: MPR_RF</t>
  </si>
  <si>
    <t>Set to 0 for normal operation</t>
  </si>
  <si>
    <t>CMD_BA - set to 0x3 for MR3</t>
  </si>
  <si>
    <t>DDR3 MR1 Parameter or MMDC MDSCR Parameter</t>
  </si>
  <si>
    <t>MR1: Q Off</t>
  </si>
  <si>
    <t>MR1: TDQS</t>
  </si>
  <si>
    <t>Termination data strobe (TDQS) is a function of the x8 DDR3 SDRAM configuration; set to 0 for x16 and x32 memories</t>
  </si>
  <si>
    <t>MR1: RTT (M9)</t>
  </si>
  <si>
    <t xml:space="preserve">On-die termination (ODT) resistance RTT. 000-disabled; 001-RZQ/4; 010-RZQ/2; 011-RZQ/6; 100-RZQ/12; 101-RZQ/8; 110&amp;111-reserved (RZQ=240ohm) </t>
  </si>
  <si>
    <t>MR1: RTT (M6)</t>
  </si>
  <si>
    <t>MR1: RTT (M2)</t>
  </si>
  <si>
    <t>MR1: WL</t>
  </si>
  <si>
    <t>Write leveling enable - set to 0 for normal operation</t>
  </si>
  <si>
    <t>MR1: ODS (M5)</t>
  </si>
  <si>
    <t xml:space="preserve">Output Drive Strength: 00-RZQ/6 (40ohm); 01-RZQ/7 (34ohm); 10&amp;11-reserved </t>
  </si>
  <si>
    <t>MR1: ODS (M1)</t>
  </si>
  <si>
    <t>MR1: AL</t>
  </si>
  <si>
    <t>AL: Additive Latency, set to 0</t>
  </si>
  <si>
    <t>MR1:DLL</t>
  </si>
  <si>
    <t>DLL Enable - set to 0</t>
  </si>
  <si>
    <t>CMD_BA - set to 0x1 for MR1</t>
  </si>
  <si>
    <t>DDR3 MR0 Parameter or MMDC MDSCR Parameter</t>
  </si>
  <si>
    <t>MR0: PD</t>
  </si>
  <si>
    <t>MR0: WR</t>
  </si>
  <si>
    <t>Write recovery. 000-16; 001-5; 010-6; 011-7; 100-8; 101-10; 110-12; 111-14.  Make sure to match MMDC tWR.</t>
  </si>
  <si>
    <t>MR0: DLL</t>
  </si>
  <si>
    <t>DLL reset - set to 1 to reset DLL; self clearing</t>
  </si>
  <si>
    <t>MR0: BT</t>
  </si>
  <si>
    <t>Burst type: set to 0</t>
  </si>
  <si>
    <t>MR0: CL (M6)</t>
  </si>
  <si>
    <t>CAS latency: 0010-5; 0100-6;0110-7;1000-8; 1010-9; 1100-10; 1110-11; 0001-12; 0011-13. Make sure to match CAS to MMDC tCL</t>
  </si>
  <si>
    <t>MR0: CL (M5)</t>
  </si>
  <si>
    <t>MR0: CL (M4)</t>
  </si>
  <si>
    <t>MR0: CL (M2)</t>
  </si>
  <si>
    <t>MR0:BL</t>
  </si>
  <si>
    <t>Burst length - set to 00 for fixed 8 burst length</t>
  </si>
  <si>
    <t>CMD_BA - set to 0x0 for MR0</t>
  </si>
  <si>
    <t>On-die termination (ODT) resistance RTT. 000-disabled; 001-RZQ/4; 010-RZQ/2; 011-RZQ/6; 100-RZQ/12; 101-RZQ/8; 110&amp;111-reserved (RZQ=240ohm) (recommend 010)</t>
  </si>
  <si>
    <t>Output Drive Strength: 00-RZQ/6 (40ohm); 01-RZQ/7 (34ohm); 10&amp;11-reserved (recommend 01)</t>
  </si>
  <si>
    <t>MPDGCTRL0 PHY0</t>
  </si>
  <si>
    <t>0x021b083c</t>
  </si>
  <si>
    <t>These are for write leveling calibration,which is needed for fly-by board layout topology</t>
  </si>
  <si>
    <t>MPWLDECTRL0 PHY0</t>
  </si>
  <si>
    <t>0x021b080c</t>
  </si>
  <si>
    <t>0x00000002</t>
  </si>
  <si>
    <t>0x00320000</t>
  </si>
  <si>
    <t>0x02000000</t>
  </si>
  <si>
    <t>0x00000100</t>
  </si>
  <si>
    <t>0x02020101</t>
  </si>
  <si>
    <t>0x00050612</t>
  </si>
  <si>
    <t>0x06030301</t>
  </si>
  <si>
    <t>0x00000a02</t>
  </si>
  <si>
    <t>0x00000003</t>
  </si>
  <si>
    <t>0x00001401</t>
  </si>
  <si>
    <t>0x0018001b</t>
  </si>
  <si>
    <t>0x00010000</t>
  </si>
  <si>
    <t>tANPD - Asynchronous ODT to power down entry delay. In DDR3 should be set to tCWL-1. Obtain this value from DDR3 data sheet. This is also calcuated from MDCGFG1[tCWL].</t>
  </si>
  <si>
    <t>tAXPD - Asynchronous ODT to power down exit delay. In DDR3 should be set to tCWL-1. Obtain this value from DDR3 data sheet. This is also calcuated from MDCGFG1[tCWL].</t>
  </si>
  <si>
    <t>tODTLon - This field determines the delay between ODT signal and the associated RTT, where according to JEDEC standard it equals WL(write latency) - 2. Therefore, the value that is configured to tODTLon field should correspond the value that is configured to MDCGFG1[tCWL]. Obtain this value from DDR3 data sheet. This is also calcuated from MDCGFG1[tCWL].</t>
  </si>
  <si>
    <t>tODT_idle_off - This field determines the Idle period before turning memory ODT off. Obtain this value from DDR3 data sheet. Usually just tCWL-2.</t>
  </si>
  <si>
    <t>tRFC - Refresh command to Active or Refresh command time. Obtain this value from DDR3 data sheet.</t>
  </si>
  <si>
    <t>tXS</t>
  </si>
  <si>
    <t>tXS - Exit self refresh to non READ command. Obtain this value from DDR3 data sheet.</t>
  </si>
  <si>
    <t>tXP - Exit power down with DLL-on to any valid command. Obtain this value from DDR3 data sheet.</t>
  </si>
  <si>
    <t>tXDPLL - Exit precharge power down with DLL frozen to commands requiring DLL. Obtain this value from DDR3 data sheet.</t>
  </si>
  <si>
    <t>tFAW - Four Active Window (all banks). Obtain this value from DDR3 data sheet.</t>
  </si>
  <si>
    <t>tCL - CAS Read Latency. Obtain this value from DDR3 data sheet.</t>
  </si>
  <si>
    <t>tRCD - Active command to internal read or write delay time (same bank). Obtain this value from DDR3 data sheet.</t>
  </si>
  <si>
    <t>tRP - Precharge command period (same bank). Obtain this value from DDR3 data sheet.</t>
  </si>
  <si>
    <t>tRC - Active to Active or Refresh command period (same bank). Obtain this value from DDR3 data sheet.</t>
  </si>
  <si>
    <t>tRAS - Active to Precharge command period (same bank). Obtain this value from DDR3 data sheet.</t>
  </si>
  <si>
    <t>tWR - WRITE recovery time (same bank). Obtain this value from DDR3 data sheet.</t>
  </si>
  <si>
    <t xml:space="preserve">tMRD - Mode Register Set command cycle (all banks). Obtain this value from DDR3 data sheet. In DDR3 mode this field shoud be set to max (tMRD,tMOD). </t>
  </si>
  <si>
    <t>tCWL - CAS Write Latency. Obtain this value from DDR3 data sheet.</t>
  </si>
  <si>
    <t>tDLLK - DLL locking time. 512 cycles (JEDEC value for DDR3).</t>
  </si>
  <si>
    <t>ADDR_MIRROR: for DDR3, address bits in the following pairs [A3,A4], [A5,A6], [A7,A8], [B0,B1] are swapped from the MMDC to CS1 to aid in routing of the DDR device on CS1. As DDR devices on CS1 are placed on the opposite side of the board from CS0, swapping these signals aids in the board routing.  If the board enables this feature and routes these signals accordingly, then set this bit. Otherwise, this bit should be cleared.</t>
  </si>
  <si>
    <t>Set to 0; not applicable to DDR3.</t>
  </si>
  <si>
    <t>MPODTCTRL</t>
  </si>
  <si>
    <t>ODT1_INT_RES</t>
  </si>
  <si>
    <t>ODT0_INT_RES</t>
  </si>
  <si>
    <t>ODT_RD_ACT_EN</t>
  </si>
  <si>
    <t>Active read CS ODT enable. The bit determines if ODT pin of the active CS will be asserted during read accesses.
0 Active CS ODT pin is disabled during read access.
1 Active CS ODT pin is enabled during read access.
This is generally not set for Freescale boards</t>
  </si>
  <si>
    <t>ODT_RD_PAS_EN</t>
  </si>
  <si>
    <t>Inactive read CS ODT enable. The bit determines if ODT pin of the inactive CS will be asserted during read accesses.
0 Inactive CS ODT pin is disabled during read accesses to other CS.
1 Inactive CS ODT pin is enabled during read accesses to other CS.
For Freescale boards with devices on both chip selects, this bit is generally set as the board layout considers termination applied for the non-active chip select device. For boards with a device on only one chip select, this bit can be cleared, however, leaving it set should not cause any issues.</t>
  </si>
  <si>
    <t xml:space="preserve">ODT_WR_ACT_EN </t>
  </si>
  <si>
    <t>Active write CS ODT enable. The bit determines if ODT pin of the active CS will be asserted during write accesses.
0 Active CS ODT pin is disabled during write access.
1 Active CS ODT pin is enabled during write access.
For Freescale boards with devices on both chip selects, this bit is generally set. In some cases, the board may be designed to account for the termination of only the other (passive) device during writes, hence this bit can be cleared. However, even in such a case, leaving it set does not cause any issues. For boards with only one chip select populated, it is recommended to set this bit. Hence, by default, this bit remains set.</t>
  </si>
  <si>
    <t>ODT_WR_PAS_EN</t>
  </si>
  <si>
    <t>Inactive write CS ODT enable. The bit determines if ODT pin of the inactive CS will be asserted during write accesses.
0 Inactive CS ODT pin is disabled during write accesses to other CS.
1 Inactive CS ODT pin is enabled during write accesses to other CS.
For Freescale boards with devices on both chip selects, this bit is generally set as the board layout considers termination applied for the non-active chip select device. For boards with a device on only one chip select, this bit can be cleared, however, leaving it set should not cause any issues.</t>
  </si>
  <si>
    <t>0x021B0818</t>
  </si>
  <si>
    <t>tRTP - Internal READ command to Precharge command delay (same bank). Obtain this value from DRAM data sheet. Most data sheets say "min=greater of 4ck or 7.5ns". For example, at 400MHz, 7.5ns equates to 3 clock cycles. In this case, if the min is listed as 4 clock cycles, then program this with 4.</t>
  </si>
  <si>
    <t>tWTR - Internal WRITE to READ command delay (same bank). Obtain this value from DRAM data sheet. Most data sheets say "min=greater of 4ck or 7.5ns". For example, at 400MHz, 7.5ns equates to 3 clock cycles. In this case, if the min is listed as 4 clock cycles, then program this with 4.</t>
  </si>
  <si>
    <t>tRRD - Active to Active command period (all banks). Obtain this value from DRAM data sheet. Most data sheets say "min=greater of 4ck or 7.5ns". For example, at 400MHz, 7.5ns equates to 3 clock cycles. In this case, if the min is listed as 4 clock cycles, then program this with 4.</t>
  </si>
  <si>
    <t xml:space="preserve">SDE_0: Enable Chip Select 0, set to 0 (disable) or 1 (enable). Note that is is assumed that at the least, CS0 will be populated, hence this bit should remain set and not optional to clear. On MX6 series, it does not make sense to populate CS1 if only one chip select is used.  In other words, if only one chip select is to be used, then use CS0. </t>
  </si>
  <si>
    <t>SDE_1: Enable Chip Select 1, set to 0 (disable) or 1 (enable). This bit is optional, based on whether or not two chip selects are populated with DRAM. If only 1 chip select populated, then this bit is cleared meaning that CS1 won't be used (and assumed CS0 is used and it's corresponding bit is set), otherwise, if two chip selects are used, then this bit should be set.</t>
  </si>
  <si>
    <t xml:space="preserve">DDR / CMOS Input Mode Field
Select one out of next values for group: DDRMODE_CTL (Pads: DRAM_SDQS0 DRAM_SDQS1
DRAM_SDQS2 DRAM_SDQS3 DRAM_SDQS4 DRAM_SDQS5 DRAM_SDQS6 DRAM_SDQS7).
0: CMOS input type
1: Differential input mode </t>
  </si>
  <si>
    <t>MT41K256M16HA-125E</t>
  </si>
  <si>
    <t>IOMUXC_SW_PAD_CTL_PAD_DRAM_SDCLK0_P</t>
  </si>
  <si>
    <t>Power Down Timer - Chip Select 1. Freescale validation determined a value of 5 was the most optimal. For systems with only one chip select with devices on CS0, these bits don't apply, but keeping them set will allow backwards compatibility with systems with two chip selects.</t>
  </si>
  <si>
    <t>MIN = 2, MAX = 8</t>
  </si>
  <si>
    <t>MIN = 260, MAX = 70,200</t>
  </si>
  <si>
    <t xml:space="preserve">Calculated End Address (starting at offset 0x80000000) </t>
  </si>
  <si>
    <t xml:space="preserve">DSIZ: Data bus size. Note: MX6UL supports 16-bits only. </t>
  </si>
  <si>
    <t>tCKE - CKE minimum pulse width. Obtain this value from DDR3 data sheet.  Usually this is greater of 3CK or 7.5ns.</t>
  </si>
  <si>
    <t>tCKSRX - This field determines the amount of clock cycles before selfrefresh exit. Obtain this value from DDR3 data sheet. Usually the minimum value is great of 5CK or 12.5ns.</t>
  </si>
  <si>
    <t>tCKSRE - This field determines the amount of clock cycles after self-refresh entry. Obtain this value from DDR3 data sheet. Usually the minimum value is great of 5CK or 12.5ns.</t>
  </si>
  <si>
    <t>0x020E0494</t>
  </si>
  <si>
    <t>0x020E04AC</t>
  </si>
  <si>
    <t>0x020E04B0</t>
  </si>
  <si>
    <t xml:space="preserve">DDR / CMOS Input Mode Field
Select one out of next values for group: DDRMODE (Pads: DRAM_D[15:0]).
0: CMOS input type
1: Differential input mode </t>
  </si>
  <si>
    <t>0x020E027C</t>
  </si>
  <si>
    <t>0x020E0288</t>
  </si>
  <si>
    <t>0x020E0490</t>
  </si>
  <si>
    <t>0x020E04A0</t>
  </si>
  <si>
    <t>IOMUXC_SW_PAD_CTL_PAD_DRAM_SDQS[1:0]</t>
  </si>
  <si>
    <t>SDQS[1:0]</t>
  </si>
  <si>
    <t>0x020E04B4</t>
  </si>
  <si>
    <t>IOMUXC_SW_PAD_CTL_PAD_DRAM_B[1:0]DS</t>
  </si>
  <si>
    <t>IOMUXC_SW_PAD_CTL_PAD_DRAM_DQM[1:0]</t>
  </si>
  <si>
    <t># IOMUXC_SW_PAD_CTL_GRP_DDRMODE</t>
  </si>
  <si>
    <t># IOMUXC_SW_PAD_CTL_GRP_DDRPKE</t>
  </si>
  <si>
    <t># IOMUXC_SW_PAD_CTL_PAD_DRAM_SDCLK0_P</t>
  </si>
  <si>
    <t>0x020E024C</t>
  </si>
  <si>
    <t>0x020E0250</t>
  </si>
  <si>
    <t># IOMUXC_SW_PAD_CTL_PAD_DRAM_CAS</t>
  </si>
  <si>
    <t># IOMUXC_SW_PAD_CTL_PAD_DRAM_RAS</t>
  </si>
  <si>
    <t># IOMUXC_SW_PAD_CTL_PAD_DRAM_RESET</t>
  </si>
  <si>
    <t># IOMUXC_SW_PAD_CTL_PAD_DRAM_ODT0</t>
  </si>
  <si>
    <t># IOMUXC_SW_PAD_CTL_PAD_DRAM_ODT1</t>
  </si>
  <si>
    <t># IOMUXC_SW_PAD_CTL_GRP_ADDDS</t>
  </si>
  <si>
    <t># IOMUXC_SW_PAD_CTL_GRP_CTLDS</t>
  </si>
  <si>
    <t>0x020E0264</t>
  </si>
  <si>
    <t>memory set 0x020E0270 32 0x00000000</t>
  </si>
  <si>
    <t># IOMUXC_SW_PAD_CTL_GRP_DDRMODE_CTL</t>
  </si>
  <si>
    <t># IOMUXC_SW_PAD_CTL_PAD_DRAM_SDQS0_P</t>
  </si>
  <si>
    <t># IOMUXC_SW_PAD_CTL_PAD_DRAM_SDQS1_P</t>
  </si>
  <si>
    <t>0x020E0284</t>
  </si>
  <si>
    <t>0x020E0280</t>
  </si>
  <si>
    <r>
      <t xml:space="preserve">  B0DS, B1DS
</t>
    </r>
    <r>
      <rPr>
        <sz val="8"/>
        <rFont val="Arial"/>
        <family val="2"/>
      </rPr>
      <t>(DRAM data byte groups)</t>
    </r>
  </si>
  <si>
    <t>0x020E04A4</t>
  </si>
  <si>
    <t>0x020E0498</t>
  </si>
  <si>
    <t># IOMUXC_SW_PAD_CTL_GRP_DDR_TYPE</t>
  </si>
  <si>
    <t># IOMUXC_SW_PAD_CTL_GRP_B0DS</t>
  </si>
  <si>
    <t># IOMUXC_SW_PAD_CTL_GRP_B1DS</t>
  </si>
  <si>
    <t># IOMUXC_SW_PAD_CTL_PAD_DRAM_DQM0</t>
  </si>
  <si>
    <t># IOMUXC_SW_PAD_CTL_PAD_DRAM_DQM1</t>
  </si>
  <si>
    <t>0x020E0248</t>
  </si>
  <si>
    <t>0x020E0244</t>
  </si>
  <si>
    <t>DQM[1:0]</t>
  </si>
  <si>
    <t># IOMUXC_SW_PAD_CTL_PAD_DRAM_SDBA2 - DSE can be configured using Group Control Register: IOMUXC_SW_PAD_CTL_GRP_CTLDS</t>
  </si>
  <si>
    <t>#=============================================================================</t>
  </si>
  <si>
    <t># Revision History</t>
  </si>
  <si>
    <t># Enable all clocks (they are disabled by ROM code)</t>
  </si>
  <si>
    <t># IOMUX</t>
  </si>
  <si>
    <t>#DDR IO TYPE:</t>
  </si>
  <si>
    <t>#CLOCK:</t>
  </si>
  <si>
    <t>#Data Strobes:</t>
  </si>
  <si>
    <t>#Data:</t>
  </si>
  <si>
    <t># DDR Controller Registers</t>
  </si>
  <si>
    <t># Manufacturer:</t>
  </si>
  <si>
    <t># Device Part Number:</t>
  </si>
  <si>
    <t xml:space="preserve"># Clock Freq.: </t>
  </si>
  <si>
    <t xml:space="preserve"># Density per CS in Gb: </t>
  </si>
  <si>
    <t># Chip Selects used:</t>
  </si>
  <si>
    <t># Total DRAM density (Gb)</t>
  </si>
  <si>
    <t># Number of Banks:</t>
  </si>
  <si>
    <t xml:space="preserve"># Row address:    </t>
  </si>
  <si>
    <t xml:space="preserve"># Column address: </t>
  </si>
  <si>
    <t># Data bus width</t>
  </si>
  <si>
    <t># DDR_PHY_P0_MPZQHWCTRL, enable both one-time &amp; periodic HW ZQ calibration.</t>
  </si>
  <si>
    <t># Complete calibration by forced measurement:</t>
  </si>
  <si>
    <t xml:space="preserve"># MMDC0_MDPDC </t>
  </si>
  <si>
    <t># MMDC0_MDOTC</t>
  </si>
  <si>
    <t># MMDC0_MDCFG0</t>
  </si>
  <si>
    <t># MMDC0_MDCFG1</t>
  </si>
  <si>
    <t># MMDC0_MDCFG2</t>
  </si>
  <si>
    <t># MMDC0_MDMISC</t>
  </si>
  <si>
    <t># MMDC0_MDRWD; recommend to maintain the default values</t>
  </si>
  <si>
    <t># MMDC0_MDOR</t>
  </si>
  <si>
    <t xml:space="preserve"># CS0_END </t>
  </si>
  <si>
    <t># MMDC0_MDCTL</t>
  </si>
  <si>
    <t># MMDC0_MDSCR, MR2 write, CS0</t>
  </si>
  <si>
    <t># MMDC0_MDSCR, MR3 write, CS0</t>
  </si>
  <si>
    <t># MMDC0_MDSCR, MR1 write, CS0</t>
  </si>
  <si>
    <t># MMDC0_MDSCR, MR0 write, CS0</t>
  </si>
  <si>
    <t># MMDC0_MDSCR, ZQ calibration command sent to device on CS0</t>
  </si>
  <si>
    <t># MMDC0_MDSCR, MR2 write, CS1</t>
  </si>
  <si>
    <t># MMDC0_MDSCR, MR3 write, CS1</t>
  </si>
  <si>
    <t># MMDC0_MDSCR, MR1 write, CS1</t>
  </si>
  <si>
    <t># MMDC0_MDSCR, MR0 write, CS1</t>
  </si>
  <si>
    <t># MMDC0_MDSCR, ZQ calibration command sent to device on CS1</t>
  </si>
  <si>
    <t># MMDC0_MDREF</t>
  </si>
  <si>
    <t># DDR_PHY_P0_MPODTCTRL</t>
  </si>
  <si>
    <t># MMDC0_MDPDC now SDCTL power down enabled</t>
  </si>
  <si>
    <t># MMDC0_MDSCR, clear this register (especially the configuration bit as initialization is complete)</t>
  </si>
  <si>
    <t># needed when using DS5 debugger, remove if not using a debugger</t>
  </si>
  <si>
    <t>memory set 0x020c4068 32 0xffffffff</t>
  </si>
  <si>
    <t>memory set 0x020c406c 32 0xffffffff</t>
  </si>
  <si>
    <t>memory set 0x020c4070 32 0xffffffff</t>
  </si>
  <si>
    <t>memory set 0x020c4074 32 0xffffffff</t>
  </si>
  <si>
    <t>memory set 0x020c4078 32 0xffffffff</t>
  </si>
  <si>
    <t>memory set 0x020c407c 32 0xffffffff</t>
  </si>
  <si>
    <t>memory set 0x020c4080 32 0xffffffff</t>
  </si>
  <si>
    <t>#[CCM_CCGR0]CCM Clock Gating Register 0</t>
  </si>
  <si>
    <t>#[CCM_CCGR1]CCM Clock Gating Register 1</t>
  </si>
  <si>
    <t>#[CCM_CCGR2]CCM Clock Gating Register 2</t>
  </si>
  <si>
    <t>#[CCM_CCGR3]CCM Clock Gating Register 3</t>
  </si>
  <si>
    <t>#[CCM_CCGR4]CCM Clock Gating Register 4</t>
  </si>
  <si>
    <t>#[CCM_CCGR5]CCM Clock Gating Register 5</t>
  </si>
  <si>
    <t>#[CCM_CCGR6]CCM Clock Gating Register 6</t>
  </si>
  <si>
    <t>memory set 0x021B001C 32 0x00008000</t>
  </si>
  <si>
    <t># [MMDC_MDSCR] MMDC Core Special Command Register</t>
  </si>
  <si>
    <t>memory set 0x021B0800 32 0xA1390003</t>
  </si>
  <si>
    <t>#======================================================</t>
  </si>
  <si>
    <t>#Calibrations:</t>
  </si>
  <si>
    <t># [MMDC_MPWLDECTRL0] MMDC PHY Write Leveling Delay Control Register 0</t>
  </si>
  <si>
    <t># [MMDC_MPDGCTRL0] MMDC PHY Read DQS Gating Control Register 0</t>
  </si>
  <si>
    <t>0x41490145</t>
  </si>
  <si>
    <t>0x40404546</t>
  </si>
  <si>
    <t>0x4040524D</t>
  </si>
  <si>
    <t># [MMDC_MPRDDLCTL] MMDC PHY Read delay-lines Configuration Register</t>
  </si>
  <si>
    <t># [MMDC_MPWRDLCTL] MMDC PHY Write delay-lines Configuration Register</t>
  </si>
  <si>
    <t>memory set 0x021B081C 32 0x33333333</t>
  </si>
  <si>
    <t>memory set 0x021B0820 32 0x33333333</t>
  </si>
  <si>
    <t># [MMDC_MPRDDQBY0DL] MMDC PHY Read DQ Byte0 Delay Register</t>
  </si>
  <si>
    <t># [MMDC_MPRDDQBY1DL] MMDC PHY Read DQ Byte1 Delay Register</t>
  </si>
  <si>
    <t>memory set 0x021B082C 32 0xf3333333</t>
  </si>
  <si>
    <t xml:space="preserve">memory set 0x021B0830 32 0xf3333333 </t>
  </si>
  <si>
    <t># [MMDC_MPWRDQBY0DL] MMDC PHY Write DQ Byte0 Delay Register</t>
  </si>
  <si>
    <t># [MMDC_MPWRDQBY1DL] MMDC PHY Write DQ Byte1 Delay Register</t>
  </si>
  <si>
    <t># [MMDC_MPDCCR] MMDC Duty Cycle Control Register</t>
  </si>
  <si>
    <t>memory set 0x021B08b8 32 0x00000800</t>
  </si>
  <si>
    <t># [MMDC_MPMUR0] MMDC PHY Measure Unit Register</t>
  </si>
  <si>
    <t>#MMDC init:</t>
  </si>
  <si>
    <t>CK1_GATING</t>
  </si>
  <si>
    <t>Gating the secondary DDR clock. When this bit is asserted then the MMDC will disable the secondary
DDR clock
0 MMDC drives two clocks toward the DDR memory
1 MMDC drives only one clock toward the DDR memory (CK0)</t>
  </si>
  <si>
    <t>On chip ODT byte0 resistor - This field determines the Rtt_Nom of the on chip ODT byte0 resistor during
read accesses.
000 Rtt_Nom Disabled.
001 Rtt_Nom 120 Ohm
010 Rtt_Nom 60 Ohm
011 Rtt_Nom 40 Ohm
100 Rtt_Nom 30 Ohm
101 Rtt_Nom 24 Ohm
110 Rtt_Nom 20 Ohm
111 Rtt_Nom 17 Ohm</t>
  </si>
  <si>
    <t>On chip ODT byte1 resistor - This field determines the Rtt_Nom of the on chip ODT byte1 resistor during
read accesses.
0000 Rtt_Nom Disabled.
001 Rtt_Nom 120 Ohm
010 Rtt_Nom 60 Ohm
011 Rtt_Nom 40 Ohm
100 Rtt_Nom 30 Ohm
101 Rtt_Nom 24 Ohm
110 Rtt_Nom 20 Ohm
111 Rtt_Nom 17 Ohm</t>
  </si>
  <si>
    <t>reserved</t>
  </si>
  <si>
    <t>Precharge power-down (PD) -
0 - DLL off (slow exit)
1 - DLL on (fast exit)</t>
  </si>
  <si>
    <t>memory set 0x021B002C 32 0x000026D2</t>
  </si>
  <si>
    <t>memory set 0x021B001C 32 0x04008040</t>
  </si>
  <si>
    <t>memory set 0x021B0404 32 0x00011006</t>
  </si>
  <si>
    <t>memory set 0x021B001C 32 0x00000000</t>
  </si>
  <si>
    <t># Mode register writes for CS0</t>
  </si>
  <si>
    <t># Mode register writes for CS, commented out automatically if only one chip select used</t>
  </si>
  <si>
    <t>#Control and Address:</t>
  </si>
  <si>
    <t>#final DDR setup, before operation start:</t>
  </si>
  <si>
    <t># MMDC0_MAPSR ADOPT power down enabled</t>
  </si>
  <si>
    <t>#memory set 0x020BC000 16 0x30</t>
  </si>
  <si>
    <t># Disable WDOG</t>
  </si>
  <si>
    <t>0x020E0260</t>
  </si>
  <si>
    <t>Version number
(Highest to Lowest)</t>
  </si>
  <si>
    <t>Details:</t>
  </si>
  <si>
    <t xml:space="preserve">Initial </t>
  </si>
  <si>
    <t>Latest Version Number, update this field with the latest revision details from the table below</t>
  </si>
  <si>
    <r>
      <t>The following refers to the "</t>
    </r>
    <r>
      <rPr>
        <i/>
        <sz val="11"/>
        <rFont val="Calibri"/>
        <family val="2"/>
      </rPr>
      <t>DStream .ds file</t>
    </r>
    <r>
      <rPr>
        <sz val="11"/>
        <rFont val="Calibri"/>
        <family val="2"/>
      </rPr>
      <t>" Worksheet tab.  In this tab, the entire DRAM initialization  can be obtained.  This initialization can be used as a DStream .ds file (see below) or as reference for the bootloader DRAM initialization.</t>
    </r>
  </si>
  <si>
    <t>Step 4. Go to the "DStream .ds file" file Worksheet tab and copy and paste this into a text document (make sure to rename the document with a “.ds” file ending); this is ready to use with the ARM DStream development system.</t>
  </si>
  <si>
    <t>Step 5. This .ds file can also be used as a reference for other debugger tools and bootloaders.</t>
  </si>
  <si>
    <t>See Revision History worksheet tab</t>
  </si>
  <si>
    <t>If CS1 populated, recommend to set the same as CS0 above. Will be automatically included in the initialization if 2 chip selects are selected.</t>
  </si>
  <si>
    <t>tAOFPD - This field determines the time between termination cuircuit starts to turn off the ODT resistance till termination has reached high impedance. Obtain this value from DDR3 data sheet. Typically set this to the maximum value given in the DDR3 data sheet.</t>
  </si>
  <si>
    <t>tAONPD - This field determines the time between termination cuircuit gets out of high impedance and begins to turn on till ODT resistance are fully on. Obtain this value from DDR3 data sheet. Typically set this to the maximum value given in the DDR3 data sheet.</t>
  </si>
  <si>
    <t>Updated tAONPD, tOFPD, and tRPA</t>
  </si>
  <si>
    <t>tRPA - Precharge-all command period. Obtain this value from DDR3 data sheet. Typically this is 0.</t>
  </si>
  <si>
    <t>//=============================================================================</t>
  </si>
  <si>
    <t>// Revision History</t>
  </si>
  <si>
    <t>// Disable</t>
  </si>
  <si>
    <t>WDOG</t>
  </si>
  <si>
    <t>0x020BC000 =</t>
  </si>
  <si>
    <t>0x30</t>
  </si>
  <si>
    <t>// Enable all clocks (they are disabled by ROM code)</t>
  </si>
  <si>
    <t>setmem /32</t>
  </si>
  <si>
    <t>0x020C4068 =</t>
  </si>
  <si>
    <t>0xFFFFFFFF</t>
  </si>
  <si>
    <t>0x020C406C =</t>
  </si>
  <si>
    <t>0x020C4070 =</t>
  </si>
  <si>
    <t>0x020C4074 =</t>
  </si>
  <si>
    <t>0x020C4078 =</t>
  </si>
  <si>
    <t>0x020C407C =</t>
  </si>
  <si>
    <t>0x020C4080 =</t>
  </si>
  <si>
    <t>//setmem /16</t>
  </si>
  <si>
    <t>//[CCM_CCGR0]CCM Clock Gating Register 0</t>
  </si>
  <si>
    <t>//[CCM_CCGR1]CCM Clock Gating Register 1</t>
  </si>
  <si>
    <t>//[CCM_CCGR2]CCM Clock Gating Register 2</t>
  </si>
  <si>
    <t>//[CCM_CCGR3]CCM Clock Gating Register 3</t>
  </si>
  <si>
    <t>//[CCM_CCGR4]CCM Clock Gating Register 4</t>
  </si>
  <si>
    <t>//[CCM_CCGR5]CCM Clock Gating Register 5</t>
  </si>
  <si>
    <t>//[CCM_CCGR6]CCM Clock Gating Register 6</t>
  </si>
  <si>
    <t>// IOMUX</t>
  </si>
  <si>
    <t>//DDR IO TYPE:</t>
  </si>
  <si>
    <t>// IOMUXC_SW_PAD_CTL_GRP_DDRMODE</t>
  </si>
  <si>
    <t xml:space="preserve">// IOMUXC_SW_PAD_CTL_GRP_DDRPKE </t>
  </si>
  <si>
    <t>//CLOCK:</t>
  </si>
  <si>
    <t>// IOMUXC_SW_PAD_CTL_PAD_DRAM_SDCLK0_P</t>
  </si>
  <si>
    <t>//Control:</t>
  </si>
  <si>
    <t>// IOMUXC_SW_PAD_CTL_PAD_DRAM_CAS</t>
  </si>
  <si>
    <t>// IOMUXC_SW_PAD_CTL_PAD_DRAM_RAS</t>
  </si>
  <si>
    <t>// IOMUXC_SW_PAD_CTL_PAD_DRAM_RESET</t>
  </si>
  <si>
    <t>// IOMUXC_SW_PAD_CTL_PAD_DRAM_SDBA2 - DSE can be configured using Group Control Register: IOMUXC_SW_PAD_CTL_GRP_CTLDS</t>
  </si>
  <si>
    <t>// IOMUXC_SW_PAD_CTL_PAD_DRAM_ODT0</t>
  </si>
  <si>
    <t>// IOMUXC_SW_PAD_CTL_PAD_DRAM_ODT1</t>
  </si>
  <si>
    <t xml:space="preserve">// IOMUXC_SW_PAD_CTL_GRP_ADDDS </t>
  </si>
  <si>
    <t xml:space="preserve">// IOMUXC_SW_PAD_CTL_GRP_CTLDS </t>
  </si>
  <si>
    <t>//Data Strobes:</t>
  </si>
  <si>
    <t xml:space="preserve">// IOMUXC_SW_PAD_CTL_GRP_DDRMODE_CTL </t>
  </si>
  <si>
    <t>// IOMUXC_SW_PAD_CTL_PAD_DRAM_SDQS0_P</t>
  </si>
  <si>
    <t>// IOMUXC_SW_PAD_CTL_PAD_DRAM_SDQS1_P</t>
  </si>
  <si>
    <t>//Data:</t>
  </si>
  <si>
    <t xml:space="preserve">// IOMUXC_SW_PAD_CTL_GRP_B0DS </t>
  </si>
  <si>
    <t xml:space="preserve">// IOMUXC_SW_PAD_CTL_GRP_B1DS </t>
  </si>
  <si>
    <t>// IOMUXC_SW_PAD_CTL_PAD_DRAM_DQM0</t>
  </si>
  <si>
    <t>// IOMUXC_SW_PAD_CTL_PAD_DRAM_DQM1</t>
  </si>
  <si>
    <t>0x020E04B4 =</t>
  </si>
  <si>
    <t>0x020E04AC =</t>
  </si>
  <si>
    <t>// IOMUXC_SW_PAD_CTL_GRP_DDR_TYPE</t>
  </si>
  <si>
    <t>0x020E027C =</t>
  </si>
  <si>
    <t>0x020E0250 =</t>
  </si>
  <si>
    <t>0x020E024C =</t>
  </si>
  <si>
    <t>0x020E0288 =</t>
  </si>
  <si>
    <t>0x020E0270 =</t>
  </si>
  <si>
    <t>0x020E0260 =</t>
  </si>
  <si>
    <t>0x020E0264 =</t>
  </si>
  <si>
    <t>0x020E04A0 =</t>
  </si>
  <si>
    <t>0x020E0490 =</t>
  </si>
  <si>
    <t>0x020E0494 =</t>
  </si>
  <si>
    <t>0x020E0280 =</t>
  </si>
  <si>
    <t>0x020E04B0 =</t>
  </si>
  <si>
    <t>0x020E0498 =</t>
  </si>
  <si>
    <t>0x020E04A4 =</t>
  </si>
  <si>
    <t>0x020E0244 =</t>
  </si>
  <si>
    <t>0x020E0248 =</t>
  </si>
  <si>
    <t>// DDR Controller Registers</t>
  </si>
  <si>
    <t>// Manufacturer:</t>
  </si>
  <si>
    <t>// Device Part Number:</t>
  </si>
  <si>
    <t xml:space="preserve">// Clock Freq.: </t>
  </si>
  <si>
    <t xml:space="preserve">// Density per CS in Gb: </t>
  </si>
  <si>
    <t>// Chip Selects used:</t>
  </si>
  <si>
    <t>// Total DRAM density (Gb)</t>
  </si>
  <si>
    <t>// Number of Banks:</t>
  </si>
  <si>
    <t xml:space="preserve">// Row address:    </t>
  </si>
  <si>
    <t xml:space="preserve">// Column address: </t>
  </si>
  <si>
    <t>// Data bus width</t>
  </si>
  <si>
    <t>0x021B001C =</t>
  </si>
  <si>
    <t>0x00008000</t>
  </si>
  <si>
    <t>//======================================================</t>
  </si>
  <si>
    <t>//Calibrations:</t>
  </si>
  <si>
    <t>0x021B0800 =</t>
  </si>
  <si>
    <t xml:space="preserve">0xA1390003 </t>
  </si>
  <si>
    <t>// DDR_PHY_P0_MPZQHWCTRL, enable both one-time &amp; periodic HW ZQ calibration.</t>
  </si>
  <si>
    <t xml:space="preserve">0x021B080C = </t>
  </si>
  <si>
    <t>// [MMDC_MPWLDECTRL0] MMDC PHY Write Leveling Delay Control Register 0</t>
  </si>
  <si>
    <t>0x021B083C =</t>
  </si>
  <si>
    <t>0x021B0848 =</t>
  </si>
  <si>
    <t>0x021B0850 =</t>
  </si>
  <si>
    <t>0x021B081C =</t>
  </si>
  <si>
    <t>0x33333333</t>
  </si>
  <si>
    <t>0x021B0820 =</t>
  </si>
  <si>
    <t>0xf3333333</t>
  </si>
  <si>
    <t>// [MMDC_MPRDDQBY0DL] MMDC PHY Read DQ Byte0 Delay Register</t>
  </si>
  <si>
    <t>// [MMDC_MPRDDQBY1DL] MMDC PHY Read DQ Byte1 Delay Register</t>
  </si>
  <si>
    <t>// [MMDC_MPWRDQBY0DL] MMDC PHY Write DQ Byte0 Delay Register</t>
  </si>
  <si>
    <t>// [MMDC_MPWRDQBY1DL] MMDC PHY Write DQ Byte1 Delay Register</t>
  </si>
  <si>
    <t>// [MMDC_MPDGCTRL0] MMDC PHY Read DQS Gating Control Register 0</t>
  </si>
  <si>
    <t>// [MMDC_MPRDDLCTL] MMDC PHY Read delay-lines Configuration Register</t>
  </si>
  <si>
    <t>// [MMDC_MPWRDLCTL] MMDC PHY Write delay-lines Configuration Register</t>
  </si>
  <si>
    <t>0x021B08C0 =</t>
  </si>
  <si>
    <t>// [MMDC_MPDCCR] MMDC Duty Cycle Control Register</t>
  </si>
  <si>
    <t>// Complete calibration by forced measurement:</t>
  </si>
  <si>
    <t>0x021B08B8 =</t>
  </si>
  <si>
    <t xml:space="preserve">0x00000800 </t>
  </si>
  <si>
    <t>// DDR_PHY_P0_MPMUR0, frc_msr</t>
  </si>
  <si>
    <t>//MMDC init:</t>
  </si>
  <si>
    <t>0x021B0004 =</t>
  </si>
  <si>
    <t xml:space="preserve">// MMDC0_MDPDC </t>
  </si>
  <si>
    <t>0x021B0008 =</t>
  </si>
  <si>
    <t>// MMDC0_MDOTC</t>
  </si>
  <si>
    <t>0x021B000C =</t>
  </si>
  <si>
    <t>// MMDC0_MDCFG0</t>
  </si>
  <si>
    <t>0x021B0010 =</t>
  </si>
  <si>
    <t>// MMDC0_MDCFG1</t>
  </si>
  <si>
    <t>0x021B0014 =</t>
  </si>
  <si>
    <t>// MMDC0_MDCFG2</t>
  </si>
  <si>
    <t>0x021B0018 =</t>
  </si>
  <si>
    <t>// MMDC0_MDMISC</t>
  </si>
  <si>
    <t>0x021B002C =</t>
  </si>
  <si>
    <t>0x000026D2</t>
  </si>
  <si>
    <t>// MMDC0_MDRWD; recommend to maintain the default values</t>
  </si>
  <si>
    <t>0x021B0030 =</t>
  </si>
  <si>
    <t>// MMDC0_MDOR</t>
  </si>
  <si>
    <t>0x021B0040 =</t>
  </si>
  <si>
    <t xml:space="preserve">// CS0_END </t>
  </si>
  <si>
    <t>0x021B0000 =</t>
  </si>
  <si>
    <t>// MMDC0_MDCTL</t>
  </si>
  <si>
    <t>// Mode register writes for CS0</t>
  </si>
  <si>
    <t>// MMDC0_MDSCR, MR2 write, CS0</t>
  </si>
  <si>
    <t>// MMDC0_MDSCR, MR3 write, CS0</t>
  </si>
  <si>
    <t>// MMDC0_MDSCR, MR1 write, CS0</t>
  </si>
  <si>
    <t>// MMDC0_MDSCR, MR0 write, CS0</t>
  </si>
  <si>
    <t>0x04008040</t>
  </si>
  <si>
    <t>// MMDC0_MDSCR, ZQ calibration command sent to device on CS0</t>
  </si>
  <si>
    <t>// Mode register writes for CS, commented out automatically if only one chip select used</t>
  </si>
  <si>
    <t>0x04008048</t>
  </si>
  <si>
    <t>// MMDC0_MDSCR, MR2 write, CS1</t>
  </si>
  <si>
    <t>// MMDC0_MDSCR, MR3 write, CS1</t>
  </si>
  <si>
    <t>// MMDC0_MDSCR, MR1 write, CS1</t>
  </si>
  <si>
    <t>// MMDC0_MDSCR, MR0 write, CS1</t>
  </si>
  <si>
    <t>// MMDC0_MDSCR, ZQ calibration command sent to device on CS1</t>
  </si>
  <si>
    <t>// final DDR setup, before operation start:</t>
  </si>
  <si>
    <t>0x021B0020 =</t>
  </si>
  <si>
    <t>// MMDC0_MDREF</t>
  </si>
  <si>
    <t>0x021B0818 =</t>
  </si>
  <si>
    <t>// DDR_PHY_P0_MPODTCTRL</t>
  </si>
  <si>
    <t>// MMDC0_MDPDC now SDCTL power down enabled</t>
  </si>
  <si>
    <t>0x021B0404 =</t>
  </si>
  <si>
    <t xml:space="preserve">0x00011006 </t>
  </si>
  <si>
    <t>// MMDC0_MDSCR, clear this register (especially the configuration bit as initialization is complete)</t>
  </si>
  <si>
    <t>0x020E0284 =</t>
  </si>
  <si>
    <t xml:space="preserve">// [MMDC_MDSCR] MMDC Core Special Command Register </t>
  </si>
  <si>
    <t>Updated with RealView .inc tab</t>
  </si>
  <si>
    <t>// MMDC0_MAPSR ADOPT power down enabled</t>
  </si>
  <si>
    <t>0x021B082C =</t>
  </si>
  <si>
    <t>0x021B0830 =</t>
  </si>
  <si>
    <t>Updated DRAM_RESET DDR_SEL description</t>
  </si>
  <si>
    <t>1.0</t>
  </si>
  <si>
    <t>Added MMDC_MDPDC.SLOW_BOOT config and linked MR0 A12 to this bit configuration to ensure both features are aligned and in sync. Rev'd to 1.0.</t>
  </si>
  <si>
    <t>SLOW_PD</t>
  </si>
  <si>
    <t>Slow/fast power down.
In DDR3 mode this field is referred to slow precharge power-down.
In LPDDR2 mode this field is not relevant.
NOTE: Memory should be configured the same.
0 Fast mode.
1 Slow mode.</t>
  </si>
  <si>
    <t>ddr_sel Field
Select one out of next values for pad: DRAM_RESET
00 DDR_SEL_0_RESERVED — RESERVED
01 DDR_SEL_1_RESERVED — RESERVED
10 DDR_SEL_2_LPDDR2_mode — LPDDR2 mode
11 DDR_SEL_3_DDR3_mode — DDR3 mode</t>
  </si>
  <si>
    <r>
      <t xml:space="preserve">-Added ULL and ULZ support via drop down menu in register configuration tab
-Updated </t>
    </r>
    <r>
      <rPr>
        <sz val="8"/>
        <rFont val="Arial"/>
        <family val="2"/>
      </rPr>
      <t>IOMUXC_SW_PAD_CTL_PAD_DRAM_RESET</t>
    </r>
    <r>
      <rPr>
        <sz val="10"/>
        <rFont val="Arial"/>
        <family val="2"/>
      </rPr>
      <t xml:space="preserve"> DDR_SEL field to align with ref manual</t>
    </r>
  </si>
  <si>
    <t xml:space="preserve">i.MX6 UL/ULL/ULZ MMDC DDR3 Configuration Spreadsheet </t>
  </si>
  <si>
    <t>Based on NXP board</t>
  </si>
  <si>
    <t>MX6UL</t>
  </si>
  <si>
    <t>SoC type (MX6UL/ULL/ULZ):</t>
  </si>
  <si>
    <t>Bus Width (16bit only)</t>
  </si>
  <si>
    <r>
      <t xml:space="preserve">Note, there are some commands that are specific for the DS5 debugger and are noted in the "Dstream .ds file" work sheet. These commands should be commented out or removed for use in bootloaders or non-debugger based DDR stress tests (for example, when using a USB loadable DDR stress test).  The same may also be applied using the </t>
    </r>
    <r>
      <rPr>
        <i/>
        <sz val="11"/>
        <rFont val="宋体"/>
        <family val="2"/>
        <scheme val="minor"/>
      </rPr>
      <t xml:space="preserve">RealView .inc file </t>
    </r>
    <r>
      <rPr>
        <sz val="11"/>
        <rFont val="宋体"/>
        <family val="2"/>
        <scheme val="minor"/>
      </rPr>
      <t>tab</t>
    </r>
  </si>
  <si>
    <t>#stop</t>
  </si>
  <si>
    <t>#set semihosting enabled true</t>
  </si>
  <si>
    <t>#memory 0x00B00000 0x0BFFFFFF noverify</t>
  </si>
  <si>
    <t>//wait = on</t>
  </si>
  <si>
    <t>// needed when using RealView Ice debugger, otherwise remove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</si>
</sst>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0"/>
      <name val="Arial"/>
    </font>
    <font>
      <sz val="8"/>
      <name val="Arial"/>
      <family val="2"/>
    </font>
    <font>
      <b/>
      <sz val="10"/>
      <name val="Arial"/>
      <family val="2"/>
    </font>
    <font>
      <sz val="10"/>
      <name val="Arial"/>
      <family val="2"/>
    </font>
    <font>
      <b/>
      <sz val="12"/>
      <name val="Arial"/>
      <family val="2"/>
    </font>
    <font>
      <b/>
      <sz val="24"/>
      <name val="Arial"/>
      <family val="2"/>
    </font>
    <font>
      <b/>
      <sz val="28"/>
      <name val="Arial"/>
      <family val="2"/>
    </font>
    <font>
      <sz val="11"/>
      <color rgb="FF3F3F76"/>
      <name val="宋体"/>
      <family val="2"/>
      <scheme val="minor"/>
    </font>
    <font>
      <b/>
      <sz val="10"/>
      <color theme="1"/>
      <name val="Arial"/>
      <family val="2"/>
    </font>
    <font>
      <sz val="10"/>
      <color theme="1"/>
      <name val="Arial"/>
      <family val="2"/>
    </font>
    <font>
      <b/>
      <sz val="11"/>
      <color rgb="FFFA7D00"/>
      <name val="宋体"/>
      <family val="2"/>
      <scheme val="minor"/>
    </font>
    <font>
      <sz val="11"/>
      <name val="宋体"/>
      <family val="2"/>
      <scheme val="minor"/>
    </font>
    <font>
      <sz val="11"/>
      <name val="Arial"/>
      <family val="2"/>
    </font>
    <font>
      <vertAlign val="superscript"/>
      <sz val="10"/>
      <name val="Arial"/>
      <family val="2"/>
    </font>
    <font>
      <sz val="11"/>
      <name val="Calibri"/>
      <family val="2"/>
    </font>
    <font>
      <sz val="11"/>
      <color rgb="FF9C0006"/>
      <name val="宋体"/>
      <family val="2"/>
      <scheme val="minor"/>
    </font>
    <font>
      <sz val="12"/>
      <name val="Arial"/>
      <family val="2"/>
    </font>
    <font>
      <sz val="12"/>
      <color theme="1"/>
      <name val="Arial"/>
      <family val="2"/>
    </font>
    <font>
      <u/>
      <sz val="10"/>
      <name val="Arial"/>
      <family val="2"/>
    </font>
    <font>
      <sz val="9"/>
      <color indexed="81"/>
      <name val="Tahoma"/>
      <family val="2"/>
    </font>
    <font>
      <b/>
      <sz val="9"/>
      <color indexed="81"/>
      <name val="Tahoma"/>
      <family val="2"/>
    </font>
    <font>
      <sz val="10"/>
      <name val="Courier New"/>
      <family val="3"/>
    </font>
    <font>
      <i/>
      <sz val="11"/>
      <name val="Calibri"/>
      <family val="2"/>
    </font>
    <font>
      <i/>
      <sz val="11"/>
      <name val="宋体"/>
      <family val="2"/>
      <scheme val="minor"/>
    </font>
    <font>
      <sz val="9"/>
      <name val="宋体"/>
      <family val="3"/>
      <charset val="134"/>
    </font>
  </fonts>
  <fills count="14">
    <fill>
      <patternFill patternType="none"/>
    </fill>
    <fill>
      <patternFill patternType="gray125"/>
    </fill>
    <fill>
      <patternFill patternType="solid">
        <fgColor indexed="9"/>
        <bgColor indexed="64"/>
      </patternFill>
    </fill>
    <fill>
      <patternFill patternType="solid">
        <fgColor rgb="FFFFCC99"/>
      </patternFill>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2F2F2"/>
      </patternFill>
    </fill>
    <fill>
      <patternFill patternType="solid">
        <fgColor theme="0" tint="-0.34998626667073579"/>
        <bgColor indexed="64"/>
      </patternFill>
    </fill>
    <fill>
      <patternFill patternType="solid">
        <fgColor theme="0" tint="-0.249977111117893"/>
        <bgColor indexed="64"/>
      </patternFill>
    </fill>
    <fill>
      <patternFill patternType="solid">
        <fgColor rgb="FFFFC7CE"/>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rgb="FF7F7F7F"/>
      </left>
      <right style="thin">
        <color rgb="FF7F7F7F"/>
      </right>
      <top style="thin">
        <color rgb="FF7F7F7F"/>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rgb="FF7F7F7F"/>
      </left>
      <right style="thin">
        <color rgb="FF7F7F7F"/>
      </right>
      <top style="medium">
        <color indexed="64"/>
      </top>
      <bottom style="medium">
        <color indexed="64"/>
      </bottom>
      <diagonal/>
    </border>
    <border>
      <left style="thin">
        <color rgb="FF7F7F7F"/>
      </left>
      <right style="medium">
        <color indexed="64"/>
      </right>
      <top style="thin">
        <color rgb="FF7F7F7F"/>
      </top>
      <bottom style="thin">
        <color rgb="FF7F7F7F"/>
      </bottom>
      <diagonal/>
    </border>
    <border>
      <left style="medium">
        <color indexed="64"/>
      </left>
      <right style="medium">
        <color indexed="64"/>
      </right>
      <top/>
      <bottom style="medium">
        <color indexed="64"/>
      </bottom>
      <diagonal/>
    </border>
    <border>
      <left style="thin">
        <color indexed="64"/>
      </left>
      <right/>
      <top style="thin">
        <color indexed="64"/>
      </top>
      <bottom style="thin">
        <color rgb="FF7F7F7F"/>
      </bottom>
      <diagonal/>
    </border>
    <border>
      <left/>
      <right style="medium">
        <color indexed="64"/>
      </right>
      <top style="thin">
        <color indexed="64"/>
      </top>
      <bottom style="thin">
        <color rgb="FF7F7F7F"/>
      </bottom>
      <diagonal/>
    </border>
    <border>
      <left style="thin">
        <color rgb="FF7F7F7F"/>
      </left>
      <right style="medium">
        <color indexed="64"/>
      </right>
      <top style="thin">
        <color rgb="FF7F7F7F"/>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rgb="FF7F7F7F"/>
      </left>
      <right style="thin">
        <color rgb="FF7F7F7F"/>
      </right>
      <top style="medium">
        <color indexed="64"/>
      </top>
      <bottom style="thin">
        <color rgb="FF7F7F7F"/>
      </bottom>
      <diagonal/>
    </border>
  </borders>
  <cellStyleXfs count="4">
    <xf numFmtId="0" fontId="0" fillId="0" borderId="0"/>
    <xf numFmtId="0" fontId="7" fillId="3" borderId="23" applyNumberFormat="0" applyAlignment="0" applyProtection="0"/>
    <xf numFmtId="0" fontId="10" fillId="10" borderId="23" applyNumberFormat="0" applyAlignment="0" applyProtection="0"/>
    <xf numFmtId="0" fontId="15" fillId="13" borderId="0" applyNumberFormat="0" applyBorder="0" applyAlignment="0" applyProtection="0"/>
  </cellStyleXfs>
  <cellXfs count="474">
    <xf numFmtId="0" fontId="0" fillId="0" borderId="0" xfId="0"/>
    <xf numFmtId="0" fontId="0" fillId="0" borderId="0" xfId="0" applyAlignment="1">
      <alignment horizontal="center"/>
    </xf>
    <xf numFmtId="0" fontId="2" fillId="0" borderId="3" xfId="0" applyFont="1" applyBorder="1" applyAlignment="1">
      <alignment horizontal="center" wrapText="1"/>
    </xf>
    <xf numFmtId="0" fontId="3" fillId="0" borderId="0" xfId="0" applyFont="1"/>
    <xf numFmtId="0" fontId="3" fillId="0" borderId="1" xfId="0" applyFont="1" applyBorder="1" applyAlignment="1">
      <alignment horizontal="center"/>
    </xf>
    <xf numFmtId="0" fontId="3" fillId="0" borderId="1" xfId="0" applyFont="1" applyBorder="1" applyAlignment="1">
      <alignment horizontal="center" wrapText="1"/>
    </xf>
    <xf numFmtId="0" fontId="3" fillId="0" borderId="1" xfId="0" quotePrefix="1" applyFont="1" applyBorder="1" applyAlignment="1">
      <alignment horizontal="center" wrapText="1"/>
    </xf>
    <xf numFmtId="0" fontId="2" fillId="0" borderId="4" xfId="0" applyFont="1" applyBorder="1" applyAlignment="1">
      <alignment horizontal="center"/>
    </xf>
    <xf numFmtId="0" fontId="2" fillId="0" borderId="3" xfId="0" applyFont="1" applyFill="1" applyBorder="1" applyAlignment="1">
      <alignment horizontal="center" wrapText="1"/>
    </xf>
    <xf numFmtId="0" fontId="0" fillId="0" borderId="0" xfId="0" applyBorder="1"/>
    <xf numFmtId="0" fontId="3" fillId="0" borderId="0" xfId="0" applyFont="1" applyBorder="1"/>
    <xf numFmtId="0" fontId="3" fillId="0" borderId="1" xfId="0" applyFont="1" applyBorder="1" applyAlignment="1">
      <alignment horizontal="left" wrapText="1"/>
    </xf>
    <xf numFmtId="0" fontId="3" fillId="0" borderId="1" xfId="0" applyFont="1" applyFill="1" applyBorder="1" applyAlignment="1">
      <alignment horizontal="center"/>
    </xf>
    <xf numFmtId="0" fontId="0" fillId="0" borderId="0" xfId="0" applyFill="1"/>
    <xf numFmtId="0" fontId="0" fillId="0" borderId="0" xfId="0" quotePrefix="1"/>
    <xf numFmtId="0" fontId="0" fillId="0" borderId="0" xfId="0" applyAlignment="1">
      <alignment horizontal="center" vertical="center" wrapText="1"/>
    </xf>
    <xf numFmtId="0" fontId="0" fillId="6" borderId="0" xfId="0" applyFill="1"/>
    <xf numFmtId="0" fontId="2" fillId="2" borderId="0" xfId="0" applyFont="1" applyFill="1"/>
    <xf numFmtId="0" fontId="5" fillId="2" borderId="0" xfId="0" applyFont="1" applyFill="1"/>
    <xf numFmtId="0" fontId="5" fillId="0" borderId="0" xfId="0" applyFont="1"/>
    <xf numFmtId="0" fontId="6" fillId="2" borderId="0" xfId="0" applyFont="1" applyFill="1"/>
    <xf numFmtId="0" fontId="5" fillId="6" borderId="0" xfId="0" applyFont="1" applyFill="1"/>
    <xf numFmtId="0" fontId="0" fillId="6" borderId="0" xfId="0" applyFill="1" applyBorder="1"/>
    <xf numFmtId="0" fontId="0" fillId="6" borderId="0" xfId="0" applyFill="1" applyAlignment="1">
      <alignment horizontal="center"/>
    </xf>
    <xf numFmtId="0" fontId="0" fillId="6" borderId="0" xfId="0" applyFill="1" applyAlignment="1">
      <alignment horizontal="left"/>
    </xf>
    <xf numFmtId="0" fontId="8" fillId="0" borderId="3" xfId="0" applyFont="1" applyBorder="1" applyAlignment="1">
      <alignment horizontal="center" wrapText="1"/>
    </xf>
    <xf numFmtId="0" fontId="8" fillId="0" borderId="4" xfId="0" applyFont="1" applyBorder="1" applyAlignment="1">
      <alignment horizontal="center"/>
    </xf>
    <xf numFmtId="0" fontId="8" fillId="0" borderId="3" xfId="0" applyFont="1" applyFill="1" applyBorder="1" applyAlignment="1">
      <alignment horizontal="center" wrapText="1"/>
    </xf>
    <xf numFmtId="0" fontId="9" fillId="0" borderId="2" xfId="0" applyFont="1" applyBorder="1" applyAlignment="1">
      <alignment horizontal="center" wrapText="1"/>
    </xf>
    <xf numFmtId="0" fontId="9" fillId="0" borderId="2" xfId="0" applyFont="1" applyBorder="1" applyAlignment="1">
      <alignment horizontal="center"/>
    </xf>
    <xf numFmtId="0" fontId="9" fillId="0" borderId="2" xfId="0" applyFont="1" applyBorder="1" applyAlignment="1">
      <alignment wrapText="1"/>
    </xf>
    <xf numFmtId="0" fontId="9" fillId="0" borderId="1" xfId="0" applyFont="1" applyBorder="1" applyAlignment="1">
      <alignment horizontal="center" wrapText="1"/>
    </xf>
    <xf numFmtId="0" fontId="9" fillId="0" borderId="1" xfId="0" applyFont="1" applyBorder="1" applyAlignment="1">
      <alignment horizontal="center"/>
    </xf>
    <xf numFmtId="0" fontId="9" fillId="0" borderId="1" xfId="0" applyFont="1" applyBorder="1" applyAlignment="1">
      <alignment wrapText="1"/>
    </xf>
    <xf numFmtId="0" fontId="9" fillId="6" borderId="0" xfId="0" applyFont="1" applyFill="1"/>
    <xf numFmtId="0" fontId="9" fillId="0" borderId="1" xfId="0" applyNumberFormat="1" applyFont="1" applyFill="1" applyBorder="1" applyAlignment="1">
      <alignment horizontal="center"/>
    </xf>
    <xf numFmtId="0" fontId="9" fillId="0" borderId="1" xfId="0" applyFont="1" applyFill="1" applyBorder="1" applyAlignment="1">
      <alignment wrapText="1"/>
    </xf>
    <xf numFmtId="0" fontId="9" fillId="0" borderId="1" xfId="0" applyFont="1" applyFill="1" applyBorder="1" applyAlignment="1">
      <alignment horizontal="center" wrapText="1"/>
    </xf>
    <xf numFmtId="0" fontId="0" fillId="7" borderId="0" xfId="0" applyFill="1" applyAlignment="1">
      <alignment horizontal="center"/>
    </xf>
    <xf numFmtId="0" fontId="3" fillId="8" borderId="0" xfId="0" applyFont="1" applyFill="1" applyAlignment="1">
      <alignment horizontal="center"/>
    </xf>
    <xf numFmtId="0" fontId="0" fillId="8" borderId="0" xfId="0" applyFill="1" applyAlignment="1">
      <alignment horizontal="center"/>
    </xf>
    <xf numFmtId="0" fontId="4" fillId="6" borderId="5" xfId="0" applyFont="1" applyFill="1" applyBorder="1"/>
    <xf numFmtId="0" fontId="0" fillId="6" borderId="6" xfId="0" applyFill="1" applyBorder="1"/>
    <xf numFmtId="0" fontId="0" fillId="6" borderId="7" xfId="0" applyFill="1" applyBorder="1" applyAlignment="1">
      <alignment horizontal="center"/>
    </xf>
    <xf numFmtId="0" fontId="3" fillId="0" borderId="8" xfId="0" applyFont="1" applyBorder="1"/>
    <xf numFmtId="0" fontId="3" fillId="0" borderId="8" xfId="0" applyFont="1" applyFill="1" applyBorder="1"/>
    <xf numFmtId="0" fontId="3" fillId="0" borderId="9" xfId="0" applyFont="1" applyFill="1" applyBorder="1"/>
    <xf numFmtId="0" fontId="3" fillId="6" borderId="0" xfId="0" applyFont="1" applyFill="1"/>
    <xf numFmtId="0" fontId="0" fillId="6" borderId="0" xfId="0" quotePrefix="1" applyFill="1"/>
    <xf numFmtId="0" fontId="7" fillId="6" borderId="0" xfId="1" applyFill="1" applyBorder="1"/>
    <xf numFmtId="0" fontId="0" fillId="6" borderId="7" xfId="0" applyFill="1" applyBorder="1"/>
    <xf numFmtId="0" fontId="9" fillId="6" borderId="0" xfId="0" applyFont="1" applyFill="1" applyBorder="1"/>
    <xf numFmtId="0" fontId="0" fillId="6" borderId="0" xfId="0" applyFill="1" applyAlignment="1">
      <alignment wrapText="1"/>
    </xf>
    <xf numFmtId="0" fontId="0" fillId="6" borderId="0" xfId="0" applyFill="1" applyBorder="1" applyAlignment="1">
      <alignment horizontal="center"/>
    </xf>
    <xf numFmtId="0" fontId="9" fillId="9" borderId="1" xfId="1" applyFont="1" applyFill="1" applyBorder="1" applyAlignment="1">
      <alignment horizontal="center" wrapText="1"/>
    </xf>
    <xf numFmtId="0" fontId="3" fillId="9" borderId="1" xfId="0" applyFont="1" applyFill="1" applyBorder="1" applyAlignment="1">
      <alignment horizontal="center"/>
    </xf>
    <xf numFmtId="0" fontId="0" fillId="0" borderId="0" xfId="0" quotePrefix="1" applyAlignment="1">
      <alignment horizontal="left"/>
    </xf>
    <xf numFmtId="0" fontId="3" fillId="0" borderId="0" xfId="0" quotePrefix="1" applyFont="1"/>
    <xf numFmtId="0" fontId="9" fillId="0" borderId="10" xfId="0" applyFont="1" applyBorder="1" applyAlignment="1">
      <alignment horizontal="center" vertical="center"/>
    </xf>
    <xf numFmtId="0" fontId="2" fillId="0" borderId="4" xfId="0" applyFont="1" applyBorder="1" applyAlignment="1">
      <alignment horizontal="center" wrapText="1"/>
    </xf>
    <xf numFmtId="0" fontId="0" fillId="0" borderId="1" xfId="0"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9" fillId="0" borderId="10" xfId="0" applyFont="1" applyBorder="1" applyAlignment="1">
      <alignment horizontal="center" wrapText="1"/>
    </xf>
    <xf numFmtId="0" fontId="9" fillId="0" borderId="10" xfId="0" applyFont="1" applyBorder="1" applyAlignment="1">
      <alignment horizontal="center"/>
    </xf>
    <xf numFmtId="0" fontId="9" fillId="0" borderId="10" xfId="0" applyFont="1" applyFill="1" applyBorder="1" applyAlignment="1">
      <alignment horizontal="center" wrapText="1"/>
    </xf>
    <xf numFmtId="0" fontId="9" fillId="0" borderId="10" xfId="0" applyFont="1" applyFill="1" applyBorder="1" applyAlignment="1">
      <alignment wrapText="1"/>
    </xf>
    <xf numFmtId="0" fontId="9" fillId="0" borderId="10" xfId="0" applyNumberFormat="1" applyFont="1" applyBorder="1" applyAlignment="1">
      <alignment horizontal="center" vertical="center"/>
    </xf>
    <xf numFmtId="0" fontId="9" fillId="0" borderId="14" xfId="0" applyFont="1" applyBorder="1" applyAlignment="1">
      <alignment horizontal="left" vertical="top" wrapText="1"/>
    </xf>
    <xf numFmtId="0" fontId="9" fillId="0" borderId="10" xfId="0" applyFont="1" applyBorder="1" applyAlignment="1">
      <alignment wrapText="1"/>
    </xf>
    <xf numFmtId="0" fontId="9" fillId="0" borderId="24" xfId="0" applyFont="1" applyBorder="1" applyAlignment="1">
      <alignment horizontal="center" wrapText="1"/>
    </xf>
    <xf numFmtId="0" fontId="9" fillId="0" borderId="26" xfId="0" applyFont="1" applyBorder="1" applyAlignment="1">
      <alignment wrapText="1"/>
    </xf>
    <xf numFmtId="0" fontId="9" fillId="0" borderId="8" xfId="0" applyFont="1" applyBorder="1" applyAlignment="1">
      <alignment horizontal="center" wrapText="1"/>
    </xf>
    <xf numFmtId="0" fontId="9" fillId="0" borderId="29" xfId="0" applyFont="1" applyBorder="1" applyAlignment="1">
      <alignment horizontal="center" wrapText="1"/>
    </xf>
    <xf numFmtId="0" fontId="9" fillId="0" borderId="9" xfId="0" applyFont="1" applyBorder="1" applyAlignment="1">
      <alignment horizontal="center" wrapText="1"/>
    </xf>
    <xf numFmtId="0" fontId="9" fillId="0" borderId="30" xfId="0" quotePrefix="1" applyFont="1" applyBorder="1" applyAlignment="1">
      <alignment horizontal="center" wrapText="1"/>
    </xf>
    <xf numFmtId="0" fontId="9" fillId="0" borderId="30" xfId="1" applyFont="1" applyFill="1" applyBorder="1" applyAlignment="1">
      <alignment horizontal="center" wrapText="1"/>
    </xf>
    <xf numFmtId="0" fontId="9" fillId="0" borderId="30" xfId="0" applyFont="1" applyBorder="1" applyAlignment="1">
      <alignment horizontal="center"/>
    </xf>
    <xf numFmtId="0" fontId="9" fillId="0" borderId="30" xfId="0" applyFont="1" applyBorder="1" applyAlignment="1">
      <alignment wrapText="1"/>
    </xf>
    <xf numFmtId="0" fontId="9" fillId="0" borderId="10" xfId="1" applyFont="1" applyFill="1" applyBorder="1" applyAlignment="1">
      <alignment horizontal="center" wrapText="1"/>
    </xf>
    <xf numFmtId="0" fontId="9" fillId="0" borderId="34" xfId="0" applyFont="1" applyBorder="1" applyAlignment="1">
      <alignment horizontal="center" wrapText="1"/>
    </xf>
    <xf numFmtId="0" fontId="9" fillId="5" borderId="1" xfId="1" applyFont="1" applyFill="1" applyBorder="1" applyAlignment="1">
      <alignment horizontal="center" wrapText="1"/>
    </xf>
    <xf numFmtId="0" fontId="9" fillId="5" borderId="1" xfId="0" quotePrefix="1" applyFont="1" applyFill="1" applyBorder="1" applyAlignment="1">
      <alignment horizontal="center" wrapText="1"/>
    </xf>
    <xf numFmtId="0" fontId="9" fillId="0" borderId="37" xfId="0" applyFont="1" applyBorder="1" applyAlignment="1">
      <alignment horizontal="center" wrapText="1"/>
    </xf>
    <xf numFmtId="0" fontId="9" fillId="0" borderId="26" xfId="0" applyFont="1" applyBorder="1" applyAlignment="1">
      <alignment horizontal="center"/>
    </xf>
    <xf numFmtId="0" fontId="9" fillId="0" borderId="26" xfId="0" applyFont="1" applyBorder="1" applyAlignment="1">
      <alignment horizontal="left" wrapText="1"/>
    </xf>
    <xf numFmtId="0" fontId="9" fillId="0" borderId="1" xfId="0" applyFont="1" applyBorder="1" applyAlignment="1">
      <alignment horizontal="left" wrapText="1"/>
    </xf>
    <xf numFmtId="0" fontId="9" fillId="0" borderId="30" xfId="0" applyFont="1" applyBorder="1" applyAlignment="1">
      <alignment horizontal="left" wrapText="1"/>
    </xf>
    <xf numFmtId="0" fontId="9" fillId="0" borderId="2" xfId="0" quotePrefix="1" applyFont="1" applyFill="1" applyBorder="1" applyAlignment="1">
      <alignment horizontal="center" wrapText="1"/>
    </xf>
    <xf numFmtId="0" fontId="9" fillId="0" borderId="8" xfId="0" applyNumberFormat="1" applyFont="1" applyFill="1" applyBorder="1" applyAlignment="1">
      <alignment horizontal="center"/>
    </xf>
    <xf numFmtId="0" fontId="9" fillId="0" borderId="36" xfId="0" applyFont="1" applyFill="1" applyBorder="1" applyAlignment="1">
      <alignment horizontal="center" wrapText="1"/>
    </xf>
    <xf numFmtId="0" fontId="9" fillId="0" borderId="10" xfId="0" quotePrefix="1" applyFont="1" applyFill="1" applyBorder="1" applyAlignment="1">
      <alignment horizontal="center" vertical="center"/>
    </xf>
    <xf numFmtId="0" fontId="9" fillId="0" borderId="30" xfId="1" quotePrefix="1" applyFont="1" applyFill="1" applyBorder="1" applyAlignment="1">
      <alignment horizontal="center" wrapText="1"/>
    </xf>
    <xf numFmtId="0" fontId="9" fillId="5" borderId="2" xfId="0" quotePrefix="1" applyFont="1" applyFill="1" applyBorder="1" applyAlignment="1">
      <alignment horizontal="center" wrapText="1"/>
    </xf>
    <xf numFmtId="0" fontId="9" fillId="5" borderId="10" xfId="0" applyFont="1" applyFill="1" applyBorder="1" applyAlignment="1">
      <alignment horizontal="center" vertical="center"/>
    </xf>
    <xf numFmtId="0" fontId="9" fillId="5" borderId="30" xfId="0" applyFont="1" applyFill="1" applyBorder="1" applyAlignment="1">
      <alignment horizontal="center" wrapText="1"/>
    </xf>
    <xf numFmtId="0" fontId="9" fillId="0" borderId="10" xfId="0" applyNumberFormat="1" applyFont="1" applyFill="1" applyBorder="1" applyAlignment="1">
      <alignment horizontal="center"/>
    </xf>
    <xf numFmtId="0" fontId="9" fillId="0" borderId="26" xfId="1" quotePrefix="1" applyFont="1" applyFill="1" applyBorder="1" applyAlignment="1">
      <alignment horizontal="center" wrapText="1"/>
    </xf>
    <xf numFmtId="0" fontId="8" fillId="0" borderId="4" xfId="0" applyFont="1" applyFill="1" applyBorder="1" applyAlignment="1">
      <alignment horizontal="center" wrapText="1"/>
    </xf>
    <xf numFmtId="0" fontId="8" fillId="0" borderId="0" xfId="0" applyFont="1" applyFill="1" applyBorder="1" applyAlignment="1">
      <alignment horizontal="center" wrapText="1"/>
    </xf>
    <xf numFmtId="0" fontId="9" fillId="0" borderId="0" xfId="0" applyFont="1" applyBorder="1" applyAlignment="1">
      <alignment horizontal="center" vertical="center"/>
    </xf>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Fill="1" applyBorder="1" applyAlignment="1">
      <alignment horizontal="center" wrapText="1"/>
    </xf>
    <xf numFmtId="0" fontId="0" fillId="6" borderId="43" xfId="0" applyFill="1" applyBorder="1" applyAlignment="1">
      <alignment horizontal="center"/>
    </xf>
    <xf numFmtId="0" fontId="3" fillId="6" borderId="42" xfId="0" applyFont="1" applyFill="1" applyBorder="1" applyAlignment="1">
      <alignment horizontal="center"/>
    </xf>
    <xf numFmtId="0" fontId="3" fillId="0" borderId="8" xfId="0" applyFont="1" applyBorder="1" applyAlignment="1">
      <alignment wrapText="1"/>
    </xf>
    <xf numFmtId="0" fontId="0" fillId="0" borderId="43" xfId="0" applyBorder="1"/>
    <xf numFmtId="0" fontId="3" fillId="6" borderId="43" xfId="0" applyFont="1" applyFill="1" applyBorder="1" applyAlignment="1">
      <alignment wrapText="1"/>
    </xf>
    <xf numFmtId="0" fontId="9" fillId="0" borderId="43" xfId="0" applyFont="1" applyFill="1" applyBorder="1" applyAlignment="1">
      <alignment horizontal="center" vertical="center"/>
    </xf>
    <xf numFmtId="0" fontId="3" fillId="6" borderId="0" xfId="0" applyFont="1" applyFill="1" applyBorder="1" applyAlignment="1">
      <alignment horizontal="center"/>
    </xf>
    <xf numFmtId="0" fontId="3" fillId="6" borderId="0" xfId="0" applyFont="1" applyFill="1" applyBorder="1" applyAlignment="1">
      <alignment wrapText="1"/>
    </xf>
    <xf numFmtId="0" fontId="9" fillId="0" borderId="0" xfId="0" applyFont="1" applyFill="1" applyBorder="1" applyAlignment="1">
      <alignment horizontal="center" vertical="center"/>
    </xf>
    <xf numFmtId="0" fontId="0" fillId="0" borderId="43" xfId="0" applyBorder="1" applyAlignment="1">
      <alignment horizontal="center"/>
    </xf>
    <xf numFmtId="0" fontId="0" fillId="5" borderId="43" xfId="0" applyFill="1" applyBorder="1" applyAlignment="1">
      <alignment horizontal="center"/>
    </xf>
    <xf numFmtId="0" fontId="0" fillId="0" borderId="0" xfId="0" applyFill="1" applyAlignment="1">
      <alignment horizontal="center" vertical="center" wrapText="1"/>
    </xf>
    <xf numFmtId="0" fontId="0" fillId="0" borderId="0" xfId="0"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0" fillId="2" borderId="0" xfId="0" applyFill="1" applyAlignment="1">
      <alignment horizontal="center"/>
    </xf>
    <xf numFmtId="0" fontId="5" fillId="2" borderId="0" xfId="0" applyFont="1" applyFill="1" applyAlignment="1">
      <alignment horizontal="center"/>
    </xf>
    <xf numFmtId="0" fontId="2" fillId="0" borderId="4" xfId="0" applyFont="1" applyFill="1" applyBorder="1" applyAlignment="1">
      <alignment horizontal="center" wrapText="1"/>
    </xf>
    <xf numFmtId="0" fontId="3" fillId="0" borderId="1" xfId="0" applyFont="1" applyFill="1" applyBorder="1" applyAlignment="1">
      <alignment horizontal="left" vertical="center" wrapText="1"/>
    </xf>
    <xf numFmtId="0" fontId="3" fillId="0" borderId="43" xfId="0" applyFont="1" applyFill="1" applyBorder="1" applyAlignment="1">
      <alignment horizontal="center" vertical="center" wrapText="1"/>
    </xf>
    <xf numFmtId="0" fontId="0" fillId="0" borderId="26" xfId="0" applyFill="1" applyBorder="1" applyAlignment="1">
      <alignment horizontal="center" vertical="center" wrapText="1"/>
    </xf>
    <xf numFmtId="0" fontId="3" fillId="0" borderId="26" xfId="0" applyFont="1" applyFill="1" applyBorder="1" applyAlignment="1">
      <alignment horizontal="left" vertical="center" wrapText="1"/>
    </xf>
    <xf numFmtId="0" fontId="0" fillId="0" borderId="30" xfId="0" applyFill="1" applyBorder="1" applyAlignment="1">
      <alignment horizontal="center" vertical="center" wrapText="1"/>
    </xf>
    <xf numFmtId="0" fontId="3" fillId="0" borderId="30" xfId="0" applyFont="1" applyFill="1" applyBorder="1" applyAlignment="1">
      <alignment horizontal="left" vertical="center" wrapText="1"/>
    </xf>
    <xf numFmtId="0" fontId="3" fillId="0" borderId="3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6" xfId="0" quotePrefix="1"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0" xfId="0" quotePrefix="1" applyFont="1" applyFill="1" applyBorder="1" applyAlignment="1">
      <alignment horizontal="center" vertical="center" wrapText="1"/>
    </xf>
    <xf numFmtId="0" fontId="9" fillId="5" borderId="26" xfId="1" applyFont="1" applyFill="1" applyBorder="1" applyAlignment="1">
      <alignment horizontal="center" wrapText="1"/>
    </xf>
    <xf numFmtId="0" fontId="3" fillId="0" borderId="37" xfId="0" applyFont="1" applyBorder="1" applyAlignment="1">
      <alignment horizontal="center" wrapText="1"/>
    </xf>
    <xf numFmtId="0" fontId="3" fillId="0" borderId="26" xfId="0" applyFont="1" applyBorder="1" applyAlignment="1">
      <alignment horizontal="center" wrapText="1"/>
    </xf>
    <xf numFmtId="0" fontId="3" fillId="0" borderId="8" xfId="0" applyFont="1" applyBorder="1" applyAlignment="1">
      <alignment horizontal="center" wrapText="1"/>
    </xf>
    <xf numFmtId="0" fontId="3" fillId="6" borderId="30" xfId="0" applyFont="1" applyFill="1" applyBorder="1" applyAlignment="1">
      <alignment horizontal="center"/>
    </xf>
    <xf numFmtId="0" fontId="3" fillId="6" borderId="30" xfId="0" applyFont="1" applyFill="1" applyBorder="1" applyAlignment="1">
      <alignment horizontal="left" wrapText="1"/>
    </xf>
    <xf numFmtId="0" fontId="3" fillId="6" borderId="9" xfId="0" applyFont="1" applyFill="1" applyBorder="1" applyAlignment="1">
      <alignment horizontal="center"/>
    </xf>
    <xf numFmtId="0" fontId="3" fillId="0" borderId="26" xfId="0" quotePrefix="1" applyFont="1" applyBorder="1" applyAlignment="1">
      <alignment horizontal="center" wrapText="1"/>
    </xf>
    <xf numFmtId="0" fontId="3" fillId="6" borderId="30" xfId="0" quotePrefix="1" applyFont="1" applyFill="1" applyBorder="1" applyAlignment="1">
      <alignment horizontal="center"/>
    </xf>
    <xf numFmtId="0" fontId="3" fillId="0" borderId="13" xfId="0" applyFont="1" applyFill="1" applyBorder="1" applyAlignment="1">
      <alignment horizontal="left" wrapText="1"/>
    </xf>
    <xf numFmtId="0" fontId="3" fillId="0" borderId="9" xfId="0" applyFont="1" applyBorder="1" applyAlignment="1">
      <alignment horizontal="center" wrapText="1"/>
    </xf>
    <xf numFmtId="0" fontId="3" fillId="0" borderId="30" xfId="0" quotePrefix="1" applyFont="1" applyBorder="1" applyAlignment="1">
      <alignment horizontal="center" wrapText="1"/>
    </xf>
    <xf numFmtId="0" fontId="3" fillId="0" borderId="30" xfId="0" applyFont="1" applyBorder="1" applyAlignment="1">
      <alignment horizontal="center"/>
    </xf>
    <xf numFmtId="0" fontId="3" fillId="0" borderId="30" xfId="0" applyFont="1" applyBorder="1" applyAlignment="1">
      <alignment horizontal="center" wrapText="1"/>
    </xf>
    <xf numFmtId="0" fontId="3" fillId="0" borderId="27" xfId="0" applyFont="1" applyBorder="1" applyAlignment="1">
      <alignment horizontal="left" wrapText="1"/>
    </xf>
    <xf numFmtId="0" fontId="3" fillId="0" borderId="28" xfId="0" applyFont="1" applyBorder="1" applyAlignment="1">
      <alignment horizontal="left" wrapText="1"/>
    </xf>
    <xf numFmtId="0" fontId="3" fillId="0" borderId="31" xfId="0" applyFont="1" applyBorder="1" applyAlignment="1">
      <alignment horizontal="left" wrapText="1"/>
    </xf>
    <xf numFmtId="0" fontId="3" fillId="0" borderId="26" xfId="0" applyFont="1" applyFill="1" applyBorder="1" applyAlignment="1">
      <alignment horizontal="center"/>
    </xf>
    <xf numFmtId="0" fontId="3" fillId="9" borderId="26" xfId="0" applyFont="1" applyFill="1" applyBorder="1" applyAlignment="1">
      <alignment horizontal="center"/>
    </xf>
    <xf numFmtId="0" fontId="3" fillId="0" borderId="36" xfId="0" applyFont="1" applyBorder="1" applyAlignment="1">
      <alignment horizontal="center" wrapText="1"/>
    </xf>
    <xf numFmtId="0" fontId="3" fillId="0" borderId="10" xfId="0" applyFont="1" applyBorder="1" applyAlignment="1">
      <alignment horizontal="center" wrapText="1"/>
    </xf>
    <xf numFmtId="0" fontId="0" fillId="0" borderId="0" xfId="0" applyBorder="1" applyAlignment="1"/>
    <xf numFmtId="0" fontId="3" fillId="0" borderId="25"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0" fillId="0" borderId="33" xfId="0"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9" borderId="26"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3" fillId="9" borderId="10" xfId="0" quotePrefix="1"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0" fillId="0" borderId="13" xfId="0" applyFill="1" applyBorder="1" applyAlignment="1">
      <alignment horizontal="center" vertical="center" wrapText="1"/>
    </xf>
    <xf numFmtId="0" fontId="1" fillId="0" borderId="13"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1" fillId="0" borderId="43"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1" fillId="0" borderId="25"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2" fillId="0" borderId="3" xfId="0" applyFont="1" applyBorder="1" applyAlignment="1">
      <alignment horizontal="center"/>
    </xf>
    <xf numFmtId="0" fontId="3" fillId="9"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3" fillId="5" borderId="30"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12" fillId="5" borderId="23" xfId="1" applyFont="1" applyFill="1" applyAlignment="1">
      <alignment horizontal="center" vertical="center" wrapText="1"/>
    </xf>
    <xf numFmtId="0" fontId="3" fillId="9" borderId="25" xfId="0" applyFont="1" applyFill="1" applyBorder="1" applyAlignment="1">
      <alignment horizontal="center" vertical="center" wrapText="1"/>
    </xf>
    <xf numFmtId="0" fontId="3" fillId="9" borderId="43" xfId="0" applyFont="1" applyFill="1" applyBorder="1" applyAlignment="1">
      <alignment horizontal="center" vertical="center" wrapText="1"/>
    </xf>
    <xf numFmtId="0" fontId="10" fillId="10" borderId="23" xfId="2" applyAlignment="1">
      <alignment horizontal="center"/>
    </xf>
    <xf numFmtId="0" fontId="10" fillId="10" borderId="48" xfId="2" applyBorder="1" applyAlignment="1">
      <alignment horizontal="center"/>
    </xf>
    <xf numFmtId="0" fontId="10" fillId="10" borderId="1" xfId="2" applyBorder="1" applyAlignment="1">
      <alignment horizontal="center" vertical="center" wrapText="1"/>
    </xf>
    <xf numFmtId="0" fontId="3" fillId="6" borderId="8" xfId="0" applyFont="1" applyFill="1" applyBorder="1" applyAlignment="1">
      <alignment horizontal="left" vertical="center" wrapText="1"/>
    </xf>
    <xf numFmtId="0" fontId="10" fillId="10" borderId="49" xfId="2" applyBorder="1" applyAlignment="1">
      <alignment horizontal="center" wrapText="1"/>
    </xf>
    <xf numFmtId="0" fontId="10" fillId="6" borderId="49" xfId="2" applyFill="1" applyBorder="1" applyAlignment="1">
      <alignment horizontal="center" wrapText="1"/>
    </xf>
    <xf numFmtId="0" fontId="2" fillId="11" borderId="3" xfId="0" applyFont="1" applyFill="1" applyBorder="1"/>
    <xf numFmtId="0" fontId="14" fillId="6" borderId="0" xfId="0" applyFont="1" applyFill="1" applyAlignment="1">
      <alignment wrapText="1"/>
    </xf>
    <xf numFmtId="0" fontId="9" fillId="0" borderId="1" xfId="0" applyFont="1" applyBorder="1" applyAlignment="1">
      <alignment horizontal="center"/>
    </xf>
    <xf numFmtId="0" fontId="9" fillId="0" borderId="30" xfId="0" applyFont="1" applyBorder="1" applyAlignment="1">
      <alignment horizontal="center"/>
    </xf>
    <xf numFmtId="0" fontId="9" fillId="0" borderId="0" xfId="0" applyFont="1" applyBorder="1" applyAlignment="1">
      <alignment horizontal="center" wrapText="1"/>
    </xf>
    <xf numFmtId="0" fontId="9" fillId="0" borderId="0" xfId="0" quotePrefix="1" applyFont="1" applyBorder="1" applyAlignment="1">
      <alignment horizontal="center" wrapText="1"/>
    </xf>
    <xf numFmtId="0" fontId="9" fillId="0" borderId="0" xfId="0" applyFont="1" applyBorder="1" applyAlignment="1">
      <alignment horizontal="center"/>
    </xf>
    <xf numFmtId="0" fontId="9" fillId="0" borderId="0" xfId="0" applyFont="1" applyBorder="1" applyAlignment="1">
      <alignment wrapText="1"/>
    </xf>
    <xf numFmtId="0" fontId="9" fillId="6" borderId="0" xfId="1" applyFont="1" applyFill="1" applyBorder="1" applyAlignment="1">
      <alignment horizontal="center" wrapText="1"/>
    </xf>
    <xf numFmtId="0" fontId="9" fillId="6" borderId="1" xfId="0" quotePrefix="1" applyFont="1" applyFill="1" applyBorder="1" applyAlignment="1">
      <alignment horizontal="center" wrapText="1"/>
    </xf>
    <xf numFmtId="0" fontId="9" fillId="6" borderId="30" xfId="0" quotePrefix="1" applyFont="1" applyFill="1" applyBorder="1" applyAlignment="1">
      <alignment horizontal="center" wrapText="1"/>
    </xf>
    <xf numFmtId="0" fontId="9" fillId="6" borderId="26" xfId="1" quotePrefix="1" applyFont="1" applyFill="1" applyBorder="1" applyAlignment="1">
      <alignment horizontal="center" wrapText="1"/>
    </xf>
    <xf numFmtId="0" fontId="9" fillId="6" borderId="1" xfId="1" quotePrefix="1" applyFont="1" applyFill="1" applyBorder="1" applyAlignment="1">
      <alignment horizontal="center" wrapText="1"/>
    </xf>
    <xf numFmtId="0" fontId="9" fillId="6" borderId="2" xfId="0" quotePrefix="1" applyFont="1" applyFill="1" applyBorder="1" applyAlignment="1">
      <alignment horizontal="center" wrapText="1"/>
    </xf>
    <xf numFmtId="0" fontId="3" fillId="0" borderId="33"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0" xfId="0" applyFont="1" applyBorder="1" applyAlignment="1">
      <alignment horizontal="left" wrapText="1"/>
    </xf>
    <xf numFmtId="0" fontId="10" fillId="6" borderId="0" xfId="2" applyFill="1" applyBorder="1" applyAlignment="1">
      <alignment horizontal="center"/>
    </xf>
    <xf numFmtId="0" fontId="9" fillId="6" borderId="0" xfId="0" applyFont="1" applyFill="1" applyBorder="1" applyAlignment="1">
      <alignment horizontal="center" vertical="center"/>
    </xf>
    <xf numFmtId="0" fontId="3" fillId="6" borderId="26" xfId="0" applyFont="1" applyFill="1" applyBorder="1" applyAlignment="1">
      <alignment horizontal="center" vertical="center" wrapText="1"/>
    </xf>
    <xf numFmtId="0" fontId="9" fillId="9" borderId="26" xfId="0" applyFont="1" applyFill="1" applyBorder="1" applyAlignment="1">
      <alignment horizontal="center" wrapText="1"/>
    </xf>
    <xf numFmtId="0" fontId="9" fillId="9" borderId="1" xfId="0" applyFont="1" applyFill="1" applyBorder="1" applyAlignment="1">
      <alignment horizontal="center" wrapText="1"/>
    </xf>
    <xf numFmtId="0" fontId="9" fillId="6" borderId="30" xfId="1" quotePrefix="1" applyFont="1" applyFill="1" applyBorder="1" applyAlignment="1">
      <alignment horizontal="center" wrapText="1"/>
    </xf>
    <xf numFmtId="0" fontId="9" fillId="9" borderId="30" xfId="0" applyFont="1" applyFill="1" applyBorder="1" applyAlignment="1">
      <alignment horizontal="center" wrapText="1"/>
    </xf>
    <xf numFmtId="0" fontId="3" fillId="0" borderId="2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0" fillId="0" borderId="30" xfId="0" applyFill="1" applyBorder="1" applyAlignment="1">
      <alignment horizontal="center" vertical="center" wrapText="1"/>
    </xf>
    <xf numFmtId="0" fontId="9" fillId="0" borderId="1" xfId="0" applyFont="1" applyBorder="1" applyAlignment="1">
      <alignment horizontal="center"/>
    </xf>
    <xf numFmtId="0" fontId="9" fillId="0" borderId="30" xfId="0" applyFont="1" applyBorder="1" applyAlignment="1">
      <alignment horizontal="center"/>
    </xf>
    <xf numFmtId="0" fontId="3" fillId="5" borderId="1" xfId="0" applyFont="1" applyFill="1" applyBorder="1" applyAlignment="1">
      <alignment horizontal="center"/>
    </xf>
    <xf numFmtId="0" fontId="9" fillId="6" borderId="25" xfId="0" applyFont="1" applyFill="1" applyBorder="1" applyAlignment="1">
      <alignment horizontal="center" wrapText="1"/>
    </xf>
    <xf numFmtId="0" fontId="9" fillId="5" borderId="26" xfId="0" quotePrefix="1" applyFont="1" applyFill="1" applyBorder="1" applyAlignment="1">
      <alignment horizontal="center" wrapText="1"/>
    </xf>
    <xf numFmtId="0" fontId="9" fillId="0" borderId="26" xfId="1" applyFont="1" applyFill="1" applyBorder="1" applyAlignment="1">
      <alignment horizontal="center" wrapText="1"/>
    </xf>
    <xf numFmtId="0" fontId="9" fillId="9" borderId="30" xfId="1" applyFont="1" applyFill="1" applyBorder="1" applyAlignment="1">
      <alignment horizontal="center" wrapText="1"/>
    </xf>
    <xf numFmtId="0" fontId="3" fillId="5" borderId="10" xfId="0" applyFont="1" applyFill="1" applyBorder="1" applyAlignment="1">
      <alignment horizontal="center"/>
    </xf>
    <xf numFmtId="0" fontId="3" fillId="0" borderId="10" xfId="0" applyFont="1" applyFill="1" applyBorder="1" applyAlignment="1">
      <alignment horizontal="center"/>
    </xf>
    <xf numFmtId="0" fontId="3" fillId="0" borderId="30" xfId="0" applyFont="1" applyFill="1" applyBorder="1" applyAlignment="1">
      <alignment horizontal="center"/>
    </xf>
    <xf numFmtId="0" fontId="3" fillId="0" borderId="0" xfId="0" applyFont="1" applyAlignment="1">
      <alignment horizontal="center"/>
    </xf>
    <xf numFmtId="0" fontId="3" fillId="0" borderId="61" xfId="0" applyFont="1" applyBorder="1" applyAlignment="1">
      <alignment horizontal="center"/>
    </xf>
    <xf numFmtId="0" fontId="0" fillId="0" borderId="14" xfId="0" applyBorder="1" applyAlignment="1">
      <alignment horizontal="center"/>
    </xf>
    <xf numFmtId="0" fontId="3" fillId="0" borderId="14" xfId="0" applyFont="1" applyBorder="1" applyAlignment="1">
      <alignment horizontal="center"/>
    </xf>
    <xf numFmtId="0" fontId="9" fillId="9" borderId="2" xfId="0" applyFont="1" applyFill="1" applyBorder="1" applyAlignment="1">
      <alignment horizontal="center" wrapText="1"/>
    </xf>
    <xf numFmtId="0" fontId="9" fillId="5" borderId="54" xfId="1" applyFont="1" applyFill="1" applyBorder="1" applyAlignment="1">
      <alignment horizontal="center" wrapText="1"/>
    </xf>
    <xf numFmtId="0" fontId="9" fillId="5" borderId="11" xfId="1" applyFont="1" applyFill="1" applyBorder="1" applyAlignment="1">
      <alignment horizontal="center" wrapText="1"/>
    </xf>
    <xf numFmtId="0" fontId="9" fillId="5" borderId="39" xfId="1" applyFont="1" applyFill="1" applyBorder="1" applyAlignment="1">
      <alignment horizontal="center" wrapText="1"/>
    </xf>
    <xf numFmtId="0" fontId="9" fillId="0" borderId="45" xfId="0" applyFont="1" applyBorder="1" applyAlignment="1">
      <alignment horizontal="center"/>
    </xf>
    <xf numFmtId="0" fontId="9" fillId="0" borderId="14" xfId="0" applyFont="1" applyBorder="1" applyAlignment="1">
      <alignment horizontal="center"/>
    </xf>
    <xf numFmtId="0" fontId="9" fillId="0" borderId="38" xfId="0" applyFont="1" applyBorder="1" applyAlignment="1">
      <alignment horizontal="center"/>
    </xf>
    <xf numFmtId="0" fontId="9" fillId="0" borderId="26" xfId="0" applyFont="1" applyBorder="1" applyAlignment="1">
      <alignment horizontal="center" wrapText="1"/>
    </xf>
    <xf numFmtId="0" fontId="9" fillId="0" borderId="30" xfId="0" applyFont="1" applyBorder="1" applyAlignment="1">
      <alignment horizontal="center" wrapText="1"/>
    </xf>
    <xf numFmtId="0" fontId="11" fillId="5" borderId="26" xfId="1" applyFont="1" applyFill="1" applyBorder="1" applyAlignment="1">
      <alignment horizontal="center" wrapText="1"/>
    </xf>
    <xf numFmtId="0" fontId="9" fillId="0" borderId="1" xfId="0" quotePrefix="1" applyFont="1" applyFill="1" applyBorder="1" applyAlignment="1">
      <alignment horizontal="center" wrapText="1"/>
    </xf>
    <xf numFmtId="0" fontId="10" fillId="10" borderId="1" xfId="2" applyBorder="1" applyAlignment="1">
      <alignment horizontal="center" wrapText="1"/>
    </xf>
    <xf numFmtId="0" fontId="9" fillId="0" borderId="30" xfId="0" quotePrefix="1" applyFont="1" applyFill="1" applyBorder="1" applyAlignment="1">
      <alignment horizontal="center" wrapText="1"/>
    </xf>
    <xf numFmtId="0" fontId="9" fillId="5" borderId="2" xfId="1" applyFont="1" applyFill="1" applyBorder="1" applyAlignment="1">
      <alignment horizontal="center" wrapText="1"/>
    </xf>
    <xf numFmtId="0" fontId="9" fillId="9" borderId="2" xfId="1" applyFont="1" applyFill="1" applyBorder="1" applyAlignment="1">
      <alignment horizontal="center" wrapText="1"/>
    </xf>
    <xf numFmtId="0" fontId="9" fillId="6" borderId="10" xfId="0" quotePrefix="1" applyFont="1" applyFill="1" applyBorder="1" applyAlignment="1">
      <alignment horizontal="center" vertical="center"/>
    </xf>
    <xf numFmtId="0" fontId="9" fillId="9" borderId="10" xfId="0" applyFont="1" applyFill="1" applyBorder="1" applyAlignment="1">
      <alignment horizontal="center"/>
    </xf>
    <xf numFmtId="0" fontId="9" fillId="5" borderId="2" xfId="0" applyFont="1" applyFill="1" applyBorder="1" applyAlignment="1">
      <alignment horizontal="center" wrapText="1"/>
    </xf>
    <xf numFmtId="0" fontId="3" fillId="0" borderId="14" xfId="0" applyFont="1" applyBorder="1" applyAlignment="1">
      <alignment horizontal="center" wrapText="1"/>
    </xf>
    <xf numFmtId="0" fontId="3" fillId="0" borderId="62" xfId="0" applyFont="1" applyBorder="1" applyAlignment="1">
      <alignment horizontal="center" wrapText="1"/>
    </xf>
    <xf numFmtId="0" fontId="3" fillId="0" borderId="13" xfId="0" applyFont="1" applyFill="1" applyBorder="1" applyAlignment="1">
      <alignment horizontal="center"/>
    </xf>
    <xf numFmtId="0" fontId="3" fillId="0" borderId="33" xfId="0" applyFont="1" applyFill="1" applyBorder="1" applyAlignment="1">
      <alignment horizontal="center"/>
    </xf>
    <xf numFmtId="0" fontId="0" fillId="6" borderId="26" xfId="0" applyFill="1" applyBorder="1" applyAlignment="1">
      <alignment horizontal="center" vertical="center" wrapText="1"/>
    </xf>
    <xf numFmtId="0" fontId="10" fillId="10" borderId="23" xfId="2" applyAlignment="1">
      <alignment horizontal="center" vertical="center" wrapText="1"/>
    </xf>
    <xf numFmtId="0" fontId="16" fillId="0" borderId="35"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16" fillId="0" borderId="60" xfId="0" applyFont="1" applyBorder="1" applyAlignment="1">
      <alignment horizontal="center"/>
    </xf>
    <xf numFmtId="0" fontId="16" fillId="12" borderId="26" xfId="0" applyFont="1" applyFill="1" applyBorder="1"/>
    <xf numFmtId="0" fontId="16" fillId="0" borderId="1" xfId="0" applyFont="1" applyBorder="1" applyAlignment="1">
      <alignment horizontal="center"/>
    </xf>
    <xf numFmtId="0" fontId="16" fillId="12" borderId="1" xfId="0" applyFont="1" applyFill="1" applyBorder="1"/>
    <xf numFmtId="0" fontId="16" fillId="6" borderId="1" xfId="0" applyFont="1" applyFill="1" applyBorder="1"/>
    <xf numFmtId="0" fontId="18" fillId="6" borderId="0" xfId="0" applyFont="1" applyFill="1"/>
    <xf numFmtId="0" fontId="16" fillId="0" borderId="25"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0" xfId="0" applyFont="1" applyFill="1" applyBorder="1" applyAlignment="1">
      <alignment horizontal="center" vertical="center" wrapText="1"/>
    </xf>
    <xf numFmtId="0" fontId="11" fillId="0" borderId="30" xfId="2" applyFont="1" applyFill="1" applyBorder="1" applyAlignment="1">
      <alignment horizontal="center" vertical="center" wrapText="1"/>
    </xf>
    <xf numFmtId="0" fontId="21" fillId="4" borderId="0" xfId="0" applyFont="1" applyFill="1"/>
    <xf numFmtId="0" fontId="0" fillId="0" borderId="0" xfId="0" applyFill="1" applyAlignment="1">
      <alignment horizontal="center"/>
    </xf>
    <xf numFmtId="0" fontId="21" fillId="0" borderId="0" xfId="0" applyFont="1" applyFill="1"/>
    <xf numFmtId="0" fontId="21" fillId="0" borderId="0" xfId="0" applyFont="1"/>
    <xf numFmtId="0" fontId="21" fillId="0" borderId="0" xfId="0" applyFont="1" applyAlignment="1">
      <alignment horizontal="left"/>
    </xf>
    <xf numFmtId="0" fontId="21" fillId="0" borderId="0" xfId="0" applyFont="1" applyAlignment="1">
      <alignment horizontal="center"/>
    </xf>
    <xf numFmtId="0" fontId="16" fillId="0" borderId="1" xfId="0" applyFont="1" applyFill="1" applyBorder="1" applyAlignment="1">
      <alignment horizontal="center"/>
    </xf>
    <xf numFmtId="0" fontId="16" fillId="0" borderId="1" xfId="0" applyFont="1" applyFill="1" applyBorder="1"/>
    <xf numFmtId="0" fontId="10" fillId="10" borderId="23" xfId="2" quotePrefix="1" applyAlignment="1">
      <alignment horizontal="center" wrapText="1"/>
    </xf>
    <xf numFmtId="0" fontId="10" fillId="10" borderId="23" xfId="2" applyAlignment="1">
      <alignment horizontal="center" wrapText="1"/>
    </xf>
    <xf numFmtId="0" fontId="9" fillId="0" borderId="1" xfId="1" quotePrefix="1" applyFont="1" applyFill="1" applyBorder="1" applyAlignment="1">
      <alignment horizontal="center" wrapText="1"/>
    </xf>
    <xf numFmtId="0" fontId="0" fillId="5" borderId="0" xfId="0" applyFill="1" applyBorder="1" applyAlignment="1">
      <alignment horizontal="center"/>
    </xf>
    <xf numFmtId="0" fontId="10" fillId="10" borderId="23" xfId="2" applyBorder="1" applyAlignment="1">
      <alignment horizontal="center"/>
    </xf>
    <xf numFmtId="0" fontId="3" fillId="0" borderId="29" xfId="0" applyFont="1" applyBorder="1" applyAlignment="1">
      <alignment horizontal="center" wrapText="1"/>
    </xf>
    <xf numFmtId="0" fontId="3" fillId="0" borderId="2" xfId="0" quotePrefix="1" applyFont="1" applyBorder="1" applyAlignment="1">
      <alignment horizontal="center" wrapText="1"/>
    </xf>
    <xf numFmtId="0" fontId="3" fillId="5" borderId="2" xfId="0" applyFont="1" applyFill="1" applyBorder="1" applyAlignment="1">
      <alignment horizontal="center"/>
    </xf>
    <xf numFmtId="0" fontId="3" fillId="0" borderId="2" xfId="0" applyFont="1" applyBorder="1" applyAlignment="1">
      <alignment horizontal="center" wrapText="1"/>
    </xf>
    <xf numFmtId="0" fontId="3" fillId="0" borderId="2" xfId="0" applyFont="1" applyBorder="1" applyAlignment="1">
      <alignment horizontal="left" wrapText="1"/>
    </xf>
    <xf numFmtId="0" fontId="2" fillId="0" borderId="26" xfId="0" quotePrefix="1" applyFont="1" applyBorder="1" applyAlignment="1">
      <alignment horizontal="center" wrapText="1"/>
    </xf>
    <xf numFmtId="0" fontId="3" fillId="0" borderId="26" xfId="0" applyFont="1" applyBorder="1" applyAlignment="1">
      <alignment horizontal="left" vertical="center" wrapText="1"/>
    </xf>
    <xf numFmtId="0" fontId="9" fillId="0" borderId="26" xfId="0" quotePrefix="1" applyFont="1" applyFill="1" applyBorder="1" applyAlignment="1">
      <alignment horizontal="center" wrapText="1"/>
    </xf>
    <xf numFmtId="0" fontId="9" fillId="0" borderId="25" xfId="0" quotePrefix="1" applyFont="1" applyFill="1" applyBorder="1" applyAlignment="1">
      <alignment horizontal="center" wrapText="1"/>
    </xf>
    <xf numFmtId="0" fontId="9" fillId="0" borderId="26" xfId="0" quotePrefix="1" applyFont="1" applyFill="1" applyBorder="1" applyAlignment="1">
      <alignment horizontal="center"/>
    </xf>
    <xf numFmtId="0" fontId="9" fillId="0" borderId="2" xfId="0" quotePrefix="1" applyFont="1" applyFill="1" applyBorder="1" applyAlignment="1">
      <alignment horizontal="center"/>
    </xf>
    <xf numFmtId="0" fontId="9" fillId="0" borderId="24" xfId="0" applyFont="1" applyFill="1" applyBorder="1" applyAlignment="1">
      <alignment horizontal="center" wrapText="1"/>
    </xf>
    <xf numFmtId="0" fontId="9" fillId="0" borderId="8" xfId="0" applyFont="1" applyFill="1" applyBorder="1" applyAlignment="1">
      <alignment horizontal="center" wrapText="1"/>
    </xf>
    <xf numFmtId="0" fontId="21" fillId="4" borderId="0" xfId="0" applyFont="1" applyFill="1" applyAlignment="1">
      <alignment horizontal="left"/>
    </xf>
    <xf numFmtId="0" fontId="2" fillId="0" borderId="0" xfId="0" applyFont="1"/>
    <xf numFmtId="0" fontId="3" fillId="6" borderId="1" xfId="0" applyFont="1" applyFill="1" applyBorder="1" applyAlignment="1">
      <alignment horizontal="center" vertical="top" wrapText="1"/>
    </xf>
    <xf numFmtId="0" fontId="3" fillId="6" borderId="1" xfId="0" applyFont="1" applyFill="1" applyBorder="1" applyAlignment="1">
      <alignment horizontal="left" vertical="top" wrapText="1"/>
    </xf>
    <xf numFmtId="0" fontId="3" fillId="0" borderId="1" xfId="0" applyFont="1" applyBorder="1"/>
    <xf numFmtId="0" fontId="0" fillId="0" borderId="1" xfId="0" applyBorder="1"/>
    <xf numFmtId="0" fontId="11" fillId="6" borderId="0" xfId="0" applyFont="1" applyFill="1" applyAlignment="1">
      <alignment wrapText="1"/>
    </xf>
    <xf numFmtId="0" fontId="11" fillId="5" borderId="1" xfId="3" applyFont="1" applyFill="1" applyBorder="1" applyAlignment="1">
      <alignment horizontal="center" wrapText="1"/>
    </xf>
    <xf numFmtId="0" fontId="11" fillId="5" borderId="1" xfId="3" quotePrefix="1" applyFont="1" applyFill="1" applyBorder="1" applyAlignment="1">
      <alignment horizontal="center" wrapText="1"/>
    </xf>
    <xf numFmtId="0" fontId="11" fillId="5" borderId="41" xfId="3" applyFont="1" applyFill="1" applyBorder="1" applyAlignment="1">
      <alignment horizontal="center" wrapText="1"/>
    </xf>
    <xf numFmtId="0" fontId="0" fillId="11" borderId="63" xfId="0" applyFill="1" applyBorder="1"/>
    <xf numFmtId="0" fontId="0" fillId="11" borderId="63" xfId="0" applyFill="1" applyBorder="1" applyAlignment="1">
      <alignment horizontal="center"/>
    </xf>
    <xf numFmtId="0" fontId="0" fillId="11" borderId="64" xfId="0" applyFill="1" applyBorder="1"/>
    <xf numFmtId="0" fontId="21" fillId="0" borderId="0" xfId="0" applyFont="1" applyAlignment="1"/>
    <xf numFmtId="49" fontId="21" fillId="4" borderId="0" xfId="0" applyNumberFormat="1" applyFont="1" applyFill="1"/>
    <xf numFmtId="0" fontId="9" fillId="0" borderId="1" xfId="0" applyFont="1" applyBorder="1" applyAlignment="1">
      <alignment horizontal="center"/>
    </xf>
    <xf numFmtId="0" fontId="9" fillId="0" borderId="30" xfId="0" applyFont="1" applyBorder="1" applyAlignment="1">
      <alignment horizontal="center"/>
    </xf>
    <xf numFmtId="0" fontId="3" fillId="6" borderId="1" xfId="0" quotePrefix="1" applyFont="1" applyFill="1" applyBorder="1" applyAlignment="1">
      <alignment horizontal="center" vertical="top" wrapText="1"/>
    </xf>
    <xf numFmtId="0" fontId="3" fillId="0" borderId="1" xfId="0" applyFont="1" applyBorder="1" applyAlignment="1">
      <alignment wrapText="1"/>
    </xf>
    <xf numFmtId="0" fontId="9" fillId="0" borderId="25" xfId="0" applyFont="1" applyBorder="1" applyAlignment="1">
      <alignment horizontal="center" wrapText="1"/>
    </xf>
    <xf numFmtId="0" fontId="9" fillId="0" borderId="25" xfId="0" applyFont="1" applyBorder="1" applyAlignment="1">
      <alignment wrapText="1"/>
    </xf>
    <xf numFmtId="0" fontId="10" fillId="10" borderId="66" xfId="2" applyBorder="1" applyAlignment="1">
      <alignment horizontal="center"/>
    </xf>
    <xf numFmtId="0" fontId="3" fillId="0" borderId="1" xfId="0" quotePrefix="1" applyFont="1" applyBorder="1" applyAlignment="1">
      <alignment wrapText="1"/>
    </xf>
    <xf numFmtId="0" fontId="21" fillId="0" borderId="0" xfId="0" applyFont="1" applyFill="1" applyAlignment="1">
      <alignment horizontal="center"/>
    </xf>
    <xf numFmtId="0" fontId="4" fillId="6" borderId="1" xfId="0" applyFont="1" applyFill="1" applyBorder="1" applyAlignment="1">
      <alignment horizontal="center"/>
    </xf>
    <xf numFmtId="0" fontId="2" fillId="0" borderId="1" xfId="0" applyFont="1" applyFill="1" applyBorder="1" applyAlignment="1">
      <alignment horizontal="center"/>
    </xf>
    <xf numFmtId="0" fontId="2" fillId="0" borderId="28" xfId="0" applyFont="1" applyFill="1" applyBorder="1" applyAlignment="1">
      <alignment horizontal="center"/>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6" borderId="15" xfId="0" applyFont="1" applyFill="1" applyBorder="1" applyAlignment="1">
      <alignment horizontal="left" vertical="top" wrapText="1"/>
    </xf>
    <xf numFmtId="0" fontId="3" fillId="6" borderId="16" xfId="0" applyFont="1" applyFill="1" applyBorder="1" applyAlignment="1">
      <alignment horizontal="left" vertical="top" wrapText="1"/>
    </xf>
    <xf numFmtId="0" fontId="3" fillId="6" borderId="17" xfId="0" applyFont="1" applyFill="1" applyBorder="1" applyAlignment="1">
      <alignment horizontal="left" vertical="top" wrapText="1"/>
    </xf>
    <xf numFmtId="0" fontId="3" fillId="6" borderId="19" xfId="0" applyFont="1" applyFill="1" applyBorder="1" applyAlignment="1">
      <alignment horizontal="left" vertical="top" wrapText="1"/>
    </xf>
    <xf numFmtId="0" fontId="3" fillId="5" borderId="51" xfId="1" applyFont="1" applyFill="1" applyBorder="1" applyAlignment="1">
      <alignment horizontal="center"/>
    </xf>
    <xf numFmtId="0" fontId="3" fillId="5" borderId="52" xfId="1" applyFont="1" applyFill="1" applyBorder="1" applyAlignment="1">
      <alignment horizontal="center"/>
    </xf>
    <xf numFmtId="0" fontId="1" fillId="0" borderId="2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9" fillId="0" borderId="25" xfId="0" applyFont="1" applyBorder="1" applyAlignment="1">
      <alignment horizontal="center" vertical="center"/>
    </xf>
    <xf numFmtId="0" fontId="9" fillId="0" borderId="13" xfId="0" applyFont="1" applyBorder="1" applyAlignment="1">
      <alignment horizontal="center" vertical="center"/>
    </xf>
    <xf numFmtId="0" fontId="9" fillId="0" borderId="33" xfId="0" applyFont="1" applyBorder="1" applyAlignment="1">
      <alignment horizontal="center" vertical="center"/>
    </xf>
    <xf numFmtId="0" fontId="17" fillId="0" borderId="54" xfId="0" applyFont="1" applyBorder="1" applyAlignment="1">
      <alignment horizontal="center" vertical="center"/>
    </xf>
    <xf numFmtId="0" fontId="17" fillId="0" borderId="39" xfId="0" applyFont="1" applyBorder="1" applyAlignment="1">
      <alignment horizontal="center" vertical="center"/>
    </xf>
    <xf numFmtId="0" fontId="17" fillId="0" borderId="47" xfId="0" applyFont="1" applyBorder="1" applyAlignment="1">
      <alignment horizontal="center" vertical="center"/>
    </xf>
    <xf numFmtId="0" fontId="17" fillId="0" borderId="55" xfId="0" applyNumberFormat="1" applyFont="1" applyBorder="1" applyAlignment="1">
      <alignment horizontal="center" vertical="center"/>
    </xf>
    <xf numFmtId="0" fontId="17" fillId="0" borderId="65" xfId="0" applyNumberFormat="1" applyFont="1" applyBorder="1" applyAlignment="1">
      <alignment horizontal="center" vertical="center"/>
    </xf>
    <xf numFmtId="0" fontId="17" fillId="0" borderId="56" xfId="0" applyNumberFormat="1" applyFont="1" applyBorder="1" applyAlignment="1">
      <alignment horizontal="center" vertical="center"/>
    </xf>
    <xf numFmtId="0" fontId="17" fillId="0" borderId="57" xfId="0" applyNumberFormat="1" applyFont="1" applyBorder="1" applyAlignment="1">
      <alignment horizontal="center" vertical="center"/>
    </xf>
    <xf numFmtId="0" fontId="3" fillId="5" borderId="11" xfId="1" applyNumberFormat="1" applyFont="1" applyFill="1" applyBorder="1" applyAlignment="1">
      <alignment horizontal="center"/>
    </xf>
    <xf numFmtId="0" fontId="3" fillId="5" borderId="12" xfId="1" applyNumberFormat="1" applyFont="1" applyFill="1" applyBorder="1" applyAlignment="1">
      <alignment horizontal="center"/>
    </xf>
    <xf numFmtId="0" fontId="3" fillId="5" borderId="11" xfId="1" applyFont="1" applyFill="1" applyBorder="1" applyAlignment="1">
      <alignment horizontal="center"/>
    </xf>
    <xf numFmtId="0" fontId="3" fillId="5" borderId="12" xfId="1" applyFont="1" applyFill="1" applyBorder="1" applyAlignment="1">
      <alignment horizontal="center"/>
    </xf>
    <xf numFmtId="0" fontId="3" fillId="6" borderId="1" xfId="0" applyFont="1" applyFill="1" applyBorder="1" applyAlignment="1">
      <alignment horizontal="center"/>
    </xf>
    <xf numFmtId="0" fontId="3" fillId="6" borderId="28" xfId="0" applyFont="1" applyFill="1" applyBorder="1" applyAlignment="1">
      <alignment horizontal="center"/>
    </xf>
    <xf numFmtId="0" fontId="16" fillId="0" borderId="25"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1" fillId="0" borderId="0" xfId="0" applyFont="1" applyFill="1" applyBorder="1" applyAlignment="1">
      <alignment wrapText="1"/>
    </xf>
    <xf numFmtId="0" fontId="0" fillId="0" borderId="0" xfId="0" applyAlignment="1">
      <alignment wrapText="1"/>
    </xf>
    <xf numFmtId="0" fontId="3" fillId="0" borderId="24"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 fillId="0" borderId="6" xfId="0" applyFont="1" applyFill="1" applyBorder="1" applyAlignment="1">
      <alignment wrapText="1"/>
    </xf>
    <xf numFmtId="0" fontId="0" fillId="0" borderId="6" xfId="0" applyBorder="1" applyAlignment="1">
      <alignment wrapText="1"/>
    </xf>
    <xf numFmtId="0" fontId="10" fillId="10" borderId="1" xfId="2" applyBorder="1" applyAlignment="1">
      <alignment horizontal="center"/>
    </xf>
    <xf numFmtId="0" fontId="10" fillId="10" borderId="28" xfId="2" applyBorder="1" applyAlignment="1">
      <alignment horizontal="center"/>
    </xf>
    <xf numFmtId="0" fontId="16" fillId="0" borderId="26"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30" xfId="0" applyFont="1" applyFill="1" applyBorder="1" applyAlignment="1">
      <alignment horizontal="center" vertical="center" wrapText="1"/>
    </xf>
    <xf numFmtId="0" fontId="16" fillId="0" borderId="40"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7" fillId="0" borderId="58" xfId="0" applyNumberFormat="1" applyFont="1" applyBorder="1" applyAlignment="1">
      <alignment horizontal="center" vertical="center"/>
    </xf>
    <xf numFmtId="0" fontId="17" fillId="0" borderId="59" xfId="0" applyNumberFormat="1" applyFont="1" applyBorder="1" applyAlignment="1">
      <alignment horizontal="center" vertical="center"/>
    </xf>
    <xf numFmtId="0" fontId="17" fillId="0" borderId="50" xfId="0" applyNumberFormat="1" applyFont="1" applyBorder="1" applyAlignment="1">
      <alignment horizontal="center" vertical="center"/>
    </xf>
    <xf numFmtId="0" fontId="9" fillId="6" borderId="15" xfId="0" applyFont="1" applyFill="1" applyBorder="1" applyAlignment="1">
      <alignment horizontal="left" vertical="top" wrapText="1"/>
    </xf>
    <xf numFmtId="0" fontId="3" fillId="0" borderId="15" xfId="0" applyFont="1" applyBorder="1" applyAlignment="1">
      <alignment horizontal="left" vertical="center" wrapText="1"/>
    </xf>
    <xf numFmtId="0" fontId="0" fillId="0" borderId="0" xfId="0" applyBorder="1" applyAlignment="1">
      <alignment wrapText="1"/>
    </xf>
    <xf numFmtId="0" fontId="0" fillId="0" borderId="16" xfId="0" applyBorder="1" applyAlignment="1">
      <alignment wrapText="1"/>
    </xf>
    <xf numFmtId="0" fontId="0" fillId="0" borderId="15"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49" fontId="3" fillId="5" borderId="11" xfId="1" applyNumberFormat="1" applyFont="1" applyFill="1" applyBorder="1" applyAlignment="1">
      <alignment horizontal="center"/>
    </xf>
    <xf numFmtId="49" fontId="3" fillId="5" borderId="12" xfId="1" applyNumberFormat="1" applyFont="1" applyFill="1" applyBorder="1" applyAlignment="1">
      <alignment horizontal="center"/>
    </xf>
    <xf numFmtId="0" fontId="9" fillId="0" borderId="26" xfId="0" applyFont="1" applyBorder="1" applyAlignment="1">
      <alignment horizontal="center" vertical="center"/>
    </xf>
    <xf numFmtId="0" fontId="9" fillId="0" borderId="1" xfId="0" applyFont="1" applyBorder="1" applyAlignment="1">
      <alignment horizontal="center"/>
    </xf>
    <xf numFmtId="0" fontId="9" fillId="0" borderId="30" xfId="0" applyFont="1" applyBorder="1" applyAlignment="1">
      <alignment horizontal="center"/>
    </xf>
    <xf numFmtId="0" fontId="9" fillId="0" borderId="25"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33" xfId="0" applyFont="1" applyFill="1" applyBorder="1" applyAlignment="1">
      <alignment horizontal="center" vertical="center"/>
    </xf>
    <xf numFmtId="0" fontId="2" fillId="5" borderId="1" xfId="0" applyFont="1" applyFill="1" applyBorder="1" applyAlignment="1">
      <alignment horizontal="center"/>
    </xf>
    <xf numFmtId="0" fontId="2" fillId="5" borderId="28" xfId="0" applyFont="1" applyFill="1" applyBorder="1" applyAlignment="1">
      <alignment horizontal="center"/>
    </xf>
    <xf numFmtId="0" fontId="0" fillId="0" borderId="33" xfId="0" applyBorder="1" applyAlignment="1">
      <alignment horizontal="center" vertical="center"/>
    </xf>
    <xf numFmtId="0" fontId="4" fillId="6" borderId="5" xfId="0" applyFont="1" applyFill="1" applyBorder="1" applyAlignment="1">
      <alignment horizontal="left"/>
    </xf>
    <xf numFmtId="0" fontId="4" fillId="6" borderId="7" xfId="0" applyFont="1" applyFill="1" applyBorder="1" applyAlignment="1">
      <alignment horizontal="left"/>
    </xf>
    <xf numFmtId="0" fontId="3" fillId="6" borderId="8" xfId="0" applyFont="1" applyFill="1" applyBorder="1" applyAlignment="1">
      <alignment horizontal="left" vertical="center" wrapText="1"/>
    </xf>
    <xf numFmtId="0" fontId="3" fillId="6" borderId="9" xfId="0" applyFont="1" applyFill="1" applyBorder="1" applyAlignment="1">
      <alignment horizontal="left" vertical="center" wrapText="1"/>
    </xf>
    <xf numFmtId="0" fontId="0" fillId="5" borderId="20" xfId="0" applyFill="1" applyBorder="1" applyAlignment="1">
      <alignment horizontal="center"/>
    </xf>
    <xf numFmtId="0" fontId="0" fillId="5" borderId="21" xfId="0" applyFill="1" applyBorder="1" applyAlignment="1">
      <alignment horizontal="center"/>
    </xf>
    <xf numFmtId="0" fontId="0" fillId="9" borderId="20" xfId="0" applyFill="1" applyBorder="1" applyAlignment="1">
      <alignment horizontal="center"/>
    </xf>
    <xf numFmtId="0" fontId="0" fillId="9" borderId="21" xfId="0" applyFill="1" applyBorder="1" applyAlignment="1">
      <alignment horizontal="center"/>
    </xf>
    <xf numFmtId="0" fontId="0" fillId="4" borderId="20" xfId="0" applyFill="1" applyBorder="1" applyAlignment="1">
      <alignment horizontal="center"/>
    </xf>
    <xf numFmtId="0" fontId="0" fillId="4" borderId="22" xfId="0" applyFill="1" applyBorder="1" applyAlignment="1">
      <alignment horizontal="center"/>
    </xf>
    <xf numFmtId="0" fontId="1" fillId="0" borderId="25"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30" xfId="0" applyFill="1" applyBorder="1" applyAlignment="1">
      <alignment horizontal="center" vertical="center" wrapText="1"/>
    </xf>
    <xf numFmtId="0" fontId="10" fillId="10" borderId="41" xfId="2" applyBorder="1" applyAlignment="1">
      <alignment horizontal="center"/>
    </xf>
    <xf numFmtId="0" fontId="10" fillId="10" borderId="53" xfId="2" applyBorder="1" applyAlignment="1">
      <alignment horizontal="center"/>
    </xf>
    <xf numFmtId="0" fontId="3" fillId="0" borderId="45"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16" fillId="0" borderId="35"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3" fillId="0" borderId="20" xfId="0" applyFont="1" applyBorder="1" applyAlignment="1">
      <alignment horizontal="left" wrapText="1"/>
    </xf>
    <xf numFmtId="0" fontId="3" fillId="0" borderId="40" xfId="0" applyFont="1" applyBorder="1" applyAlignment="1">
      <alignment horizontal="left" wrapText="1"/>
    </xf>
    <xf numFmtId="0" fontId="3" fillId="0" borderId="21" xfId="0" applyFont="1" applyBorder="1" applyAlignment="1">
      <alignment horizontal="left" wrapText="1"/>
    </xf>
    <xf numFmtId="0" fontId="17" fillId="0" borderId="26" xfId="0" applyFont="1" applyBorder="1" applyAlignment="1">
      <alignment horizontal="center" vertical="center"/>
    </xf>
    <xf numFmtId="0" fontId="17" fillId="0" borderId="1" xfId="0" applyFont="1" applyBorder="1" applyAlignment="1">
      <alignment horizontal="center" vertical="center"/>
    </xf>
    <xf numFmtId="0" fontId="17" fillId="0" borderId="30"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31" xfId="0" applyFont="1" applyBorder="1" applyAlignment="1">
      <alignment horizontal="center" vertical="center"/>
    </xf>
    <xf numFmtId="0" fontId="17" fillId="0" borderId="27" xfId="0" applyNumberFormat="1" applyFont="1" applyBorder="1" applyAlignment="1">
      <alignment horizontal="center" vertical="center"/>
    </xf>
    <xf numFmtId="0" fontId="17" fillId="0" borderId="28" xfId="0" applyNumberFormat="1" applyFont="1" applyBorder="1" applyAlignment="1">
      <alignment horizontal="center" vertical="center"/>
    </xf>
    <xf numFmtId="0" fontId="17" fillId="0" borderId="31" xfId="0" applyNumberFormat="1" applyFont="1" applyBorder="1" applyAlignment="1">
      <alignment horizontal="center" vertical="center"/>
    </xf>
    <xf numFmtId="0" fontId="17" fillId="0" borderId="35" xfId="0" applyFont="1" applyBorder="1" applyAlignment="1">
      <alignment horizontal="center" vertical="center"/>
    </xf>
    <xf numFmtId="0" fontId="17" fillId="0" borderId="40" xfId="0" applyFont="1" applyBorder="1" applyAlignment="1">
      <alignment horizontal="center" vertical="center"/>
    </xf>
    <xf numFmtId="0" fontId="16" fillId="0" borderId="22" xfId="0" applyFont="1" applyBorder="1" applyAlignment="1">
      <alignment horizontal="center" vertical="center"/>
    </xf>
    <xf numFmtId="0" fontId="17" fillId="0" borderId="35"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22" xfId="0" applyFont="1" applyFill="1" applyBorder="1" applyAlignment="1">
      <alignment horizontal="center" vertical="center"/>
    </xf>
    <xf numFmtId="0" fontId="16"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17" fillId="0" borderId="25"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33" xfId="0" applyFont="1" applyFill="1" applyBorder="1" applyAlignment="1">
      <alignment horizontal="center" vertical="center"/>
    </xf>
    <xf numFmtId="0" fontId="0" fillId="0" borderId="25" xfId="0" applyFill="1" applyBorder="1" applyAlignment="1">
      <alignment horizontal="center" vertical="center" wrapText="1"/>
    </xf>
    <xf numFmtId="0" fontId="0" fillId="0" borderId="33" xfId="0" applyFill="1" applyBorder="1" applyAlignment="1">
      <alignment horizontal="center" vertical="center" wrapText="1"/>
    </xf>
    <xf numFmtId="0" fontId="1" fillId="0" borderId="25"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5" fillId="2" borderId="0" xfId="0" applyFont="1" applyFill="1" applyAlignment="1">
      <alignment horizontal="center"/>
    </xf>
    <xf numFmtId="0" fontId="3" fillId="0" borderId="1" xfId="0" applyFont="1" applyBorder="1" applyAlignment="1">
      <alignment horizontal="center" vertical="center" wrapText="1"/>
    </xf>
    <xf numFmtId="0" fontId="17" fillId="0" borderId="25" xfId="0" applyFont="1" applyFill="1" applyBorder="1" applyAlignment="1">
      <alignment horizontal="center" vertical="center" wrapText="1"/>
    </xf>
    <xf numFmtId="0" fontId="2" fillId="11" borderId="5" xfId="0" applyFont="1" applyFill="1" applyBorder="1" applyAlignment="1">
      <alignment horizontal="center"/>
    </xf>
    <xf numFmtId="0" fontId="2" fillId="11" borderId="6" xfId="0" applyFont="1" applyFill="1" applyBorder="1" applyAlignment="1">
      <alignment horizontal="center"/>
    </xf>
    <xf numFmtId="0" fontId="2" fillId="11" borderId="7" xfId="0" applyFont="1" applyFill="1" applyBorder="1" applyAlignment="1">
      <alignment horizontal="center"/>
    </xf>
    <xf numFmtId="0" fontId="2" fillId="11" borderId="17" xfId="0" applyFont="1" applyFill="1" applyBorder="1" applyAlignment="1">
      <alignment horizontal="center"/>
    </xf>
    <xf numFmtId="0" fontId="2" fillId="11" borderId="18" xfId="0" applyFont="1" applyFill="1" applyBorder="1" applyAlignment="1">
      <alignment horizontal="center"/>
    </xf>
    <xf numFmtId="0" fontId="2" fillId="11" borderId="19" xfId="0" applyFont="1" applyFill="1" applyBorder="1" applyAlignment="1">
      <alignment horizontal="center"/>
    </xf>
    <xf numFmtId="0" fontId="17" fillId="0" borderId="25" xfId="0" applyFont="1" applyBorder="1" applyAlignment="1">
      <alignment horizontal="center" vertical="center"/>
    </xf>
    <xf numFmtId="0" fontId="17" fillId="0" borderId="13" xfId="0" applyFont="1" applyBorder="1" applyAlignment="1">
      <alignment horizontal="center" vertical="center"/>
    </xf>
    <xf numFmtId="0" fontId="16" fillId="0" borderId="33" xfId="0" applyFont="1" applyBorder="1" applyAlignment="1">
      <alignment horizontal="center" vertical="center"/>
    </xf>
    <xf numFmtId="49" fontId="21" fillId="4" borderId="0" xfId="0" applyNumberFormat="1" applyFont="1" applyFill="1" applyAlignment="1"/>
    <xf numFmtId="0" fontId="21" fillId="0" borderId="0" xfId="0" applyFont="1" applyAlignment="1"/>
  </cellXfs>
  <cellStyles count="4">
    <cellStyle name="差" xfId="3" builtinId="27"/>
    <cellStyle name="常规" xfId="0" builtinId="0"/>
    <cellStyle name="计算" xfId="2" builtinId="22"/>
    <cellStyle name="输入" xfId="1" builtin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20</xdr:row>
      <xdr:rowOff>71099</xdr:rowOff>
    </xdr:from>
    <xdr:to>
      <xdr:col>1</xdr:col>
      <xdr:colOff>6753225</xdr:colOff>
      <xdr:row>32</xdr:row>
      <xdr:rowOff>114300</xdr:rowOff>
    </xdr:to>
    <xdr:pic>
      <xdr:nvPicPr>
        <xdr:cNvPr id="6" name="Picture 4">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38175" y="4004924"/>
          <a:ext cx="6724650" cy="2014876"/>
        </a:xfrm>
        <a:prstGeom prst="rect">
          <a:avLst/>
        </a:prstGeom>
        <a:noFill/>
      </xdr:spPr>
    </xdr:pic>
    <xdr:clientData/>
  </xdr:twoCellAnchor>
  <xdr:twoCellAnchor editAs="oneCell">
    <xdr:from>
      <xdr:col>1</xdr:col>
      <xdr:colOff>28575</xdr:colOff>
      <xdr:row>6</xdr:row>
      <xdr:rowOff>19050</xdr:rowOff>
    </xdr:from>
    <xdr:to>
      <xdr:col>1</xdr:col>
      <xdr:colOff>3685718</xdr:colOff>
      <xdr:row>7</xdr:row>
      <xdr:rowOff>95217</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638175" y="1133475"/>
          <a:ext cx="3657143" cy="266667"/>
        </a:xfrm>
        <a:prstGeom prst="rect">
          <a:avLst/>
        </a:prstGeom>
        <a:ln>
          <a:solidFill>
            <a:schemeClr val="tx1"/>
          </a:solidFill>
        </a:ln>
      </xdr:spPr>
    </xdr:pic>
    <xdr:clientData/>
  </xdr:twoCellAnchor>
  <xdr:twoCellAnchor editAs="oneCell">
    <xdr:from>
      <xdr:col>0</xdr:col>
      <xdr:colOff>607695</xdr:colOff>
      <xdr:row>34</xdr:row>
      <xdr:rowOff>40005</xdr:rowOff>
    </xdr:from>
    <xdr:to>
      <xdr:col>1</xdr:col>
      <xdr:colOff>3740952</xdr:colOff>
      <xdr:row>35</xdr:row>
      <xdr:rowOff>137123</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stretch>
          <a:fillRect/>
        </a:stretch>
      </xdr:blipFill>
      <xdr:spPr>
        <a:xfrm>
          <a:off x="607695" y="6486525"/>
          <a:ext cx="3742857" cy="279998"/>
        </a:xfrm>
        <a:prstGeom prst="rect">
          <a:avLst/>
        </a:prstGeom>
        <a:ln>
          <a:solidFill>
            <a:schemeClr val="tx1"/>
          </a:solidFill>
        </a:ln>
      </xdr:spPr>
    </xdr:pic>
    <xdr:clientData/>
  </xdr:twoCellAnchor>
  <xdr:twoCellAnchor editAs="oneCell">
    <xdr:from>
      <xdr:col>1</xdr:col>
      <xdr:colOff>30480</xdr:colOff>
      <xdr:row>9</xdr:row>
      <xdr:rowOff>60960</xdr:rowOff>
    </xdr:from>
    <xdr:to>
      <xdr:col>1</xdr:col>
      <xdr:colOff>3025899</xdr:colOff>
      <xdr:row>18</xdr:row>
      <xdr:rowOff>150139</xdr:rowOff>
    </xdr:to>
    <xdr:pic>
      <xdr:nvPicPr>
        <xdr:cNvPr id="2" name="Picture 1">
          <a:extLst>
            <a:ext uri="{FF2B5EF4-FFF2-40B4-BE49-F238E27FC236}">
              <a16:creationId xmlns:a16="http://schemas.microsoft.com/office/drawing/2014/main" id="{D86AC4A7-5C37-4363-A3AB-2A98B75C1ABA}"/>
            </a:ext>
          </a:extLst>
        </xdr:cNvPr>
        <xdr:cNvPicPr>
          <a:picLocks noChangeAspect="1"/>
        </xdr:cNvPicPr>
      </xdr:nvPicPr>
      <xdr:blipFill>
        <a:blip xmlns:r="http://schemas.openxmlformats.org/officeDocument/2006/relationships" r:embed="rId4"/>
        <a:stretch>
          <a:fillRect/>
        </a:stretch>
      </xdr:blipFill>
      <xdr:spPr>
        <a:xfrm>
          <a:off x="640080" y="1691640"/>
          <a:ext cx="2995419" cy="1628419"/>
        </a:xfrm>
        <a:prstGeom prst="rect">
          <a:avLst/>
        </a:prstGeom>
      </xdr:spPr>
    </xdr:pic>
    <xdr:clientData/>
  </xdr:twoCellAnchor>
  <xdr:twoCellAnchor>
    <xdr:from>
      <xdr:col>1</xdr:col>
      <xdr:colOff>2971800</xdr:colOff>
      <xdr:row>10</xdr:row>
      <xdr:rowOff>68580</xdr:rowOff>
    </xdr:from>
    <xdr:to>
      <xdr:col>1</xdr:col>
      <xdr:colOff>3665220</xdr:colOff>
      <xdr:row>10</xdr:row>
      <xdr:rowOff>76200</xdr:rowOff>
    </xdr:to>
    <xdr:cxnSp macro="">
      <xdr:nvCxnSpPr>
        <xdr:cNvPr id="4" name="Straight Arrow Connector 3">
          <a:extLst>
            <a:ext uri="{FF2B5EF4-FFF2-40B4-BE49-F238E27FC236}">
              <a16:creationId xmlns:a16="http://schemas.microsoft.com/office/drawing/2014/main" id="{EF741C66-277C-46B3-90AC-1CEAC3942BA5}"/>
            </a:ext>
          </a:extLst>
        </xdr:cNvPr>
        <xdr:cNvCxnSpPr/>
      </xdr:nvCxnSpPr>
      <xdr:spPr>
        <a:xfrm flipH="1">
          <a:off x="3581400" y="1882140"/>
          <a:ext cx="693420" cy="762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xdr:col>
      <xdr:colOff>3672840</xdr:colOff>
      <xdr:row>9</xdr:row>
      <xdr:rowOff>121920</xdr:rowOff>
    </xdr:from>
    <xdr:ext cx="3216009" cy="264560"/>
    <xdr:sp macro="" textlink="">
      <xdr:nvSpPr>
        <xdr:cNvPr id="9" name="TextBox 8">
          <a:extLst>
            <a:ext uri="{FF2B5EF4-FFF2-40B4-BE49-F238E27FC236}">
              <a16:creationId xmlns:a16="http://schemas.microsoft.com/office/drawing/2014/main" id="{6C8461EC-9A6B-44F8-A0DA-38780B16CB0C}"/>
            </a:ext>
          </a:extLst>
        </xdr:cNvPr>
        <xdr:cNvSpPr txBox="1"/>
      </xdr:nvSpPr>
      <xdr:spPr>
        <a:xfrm>
          <a:off x="4282440" y="1752600"/>
          <a:ext cx="321600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Make sure to select the desired MX6UL/ULL/ULZ SoC</a:t>
          </a:r>
        </a:p>
      </xdr:txBody>
    </xdr:sp>
    <xdr:clientData/>
  </xdr:oneCellAnchor>
  <xdr:twoCellAnchor editAs="oneCell">
    <xdr:from>
      <xdr:col>1</xdr:col>
      <xdr:colOff>3718560</xdr:colOff>
      <xdr:row>34</xdr:row>
      <xdr:rowOff>45720</xdr:rowOff>
    </xdr:from>
    <xdr:to>
      <xdr:col>1</xdr:col>
      <xdr:colOff>5013960</xdr:colOff>
      <xdr:row>35</xdr:row>
      <xdr:rowOff>134331</xdr:rowOff>
    </xdr:to>
    <xdr:pic>
      <xdr:nvPicPr>
        <xdr:cNvPr id="10" name="Picture 9">
          <a:extLst>
            <a:ext uri="{FF2B5EF4-FFF2-40B4-BE49-F238E27FC236}">
              <a16:creationId xmlns:a16="http://schemas.microsoft.com/office/drawing/2014/main" id="{053C42AB-CB24-4664-924D-B90987601C9B}"/>
            </a:ext>
          </a:extLst>
        </xdr:cNvPr>
        <xdr:cNvPicPr>
          <a:picLocks noChangeAspect="1"/>
        </xdr:cNvPicPr>
      </xdr:nvPicPr>
      <xdr:blipFill>
        <a:blip xmlns:r="http://schemas.openxmlformats.org/officeDocument/2006/relationships" r:embed="rId5"/>
        <a:stretch>
          <a:fillRect/>
        </a:stretch>
      </xdr:blipFill>
      <xdr:spPr>
        <a:xfrm>
          <a:off x="4328160" y="6492240"/>
          <a:ext cx="1295400" cy="271491"/>
        </a:xfrm>
        <a:prstGeom prst="rect">
          <a:avLst/>
        </a:prstGeom>
      </xdr:spPr>
    </xdr:pic>
    <xdr:clientData/>
  </xdr:twoCellAnchor>
  <xdr:twoCellAnchor editAs="oneCell">
    <xdr:from>
      <xdr:col>1</xdr:col>
      <xdr:colOff>3703320</xdr:colOff>
      <xdr:row>6</xdr:row>
      <xdr:rowOff>22860</xdr:rowOff>
    </xdr:from>
    <xdr:to>
      <xdr:col>1</xdr:col>
      <xdr:colOff>4998720</xdr:colOff>
      <xdr:row>7</xdr:row>
      <xdr:rowOff>111471</xdr:rowOff>
    </xdr:to>
    <xdr:pic>
      <xdr:nvPicPr>
        <xdr:cNvPr id="12" name="Picture 11">
          <a:extLst>
            <a:ext uri="{FF2B5EF4-FFF2-40B4-BE49-F238E27FC236}">
              <a16:creationId xmlns:a16="http://schemas.microsoft.com/office/drawing/2014/main" id="{F27CCDF5-E870-4E53-8643-6A029F9F4E21}"/>
            </a:ext>
          </a:extLst>
        </xdr:cNvPr>
        <xdr:cNvPicPr>
          <a:picLocks noChangeAspect="1"/>
        </xdr:cNvPicPr>
      </xdr:nvPicPr>
      <xdr:blipFill>
        <a:blip xmlns:r="http://schemas.openxmlformats.org/officeDocument/2006/relationships" r:embed="rId5"/>
        <a:stretch>
          <a:fillRect/>
        </a:stretch>
      </xdr:blipFill>
      <xdr:spPr>
        <a:xfrm>
          <a:off x="4312920" y="1104900"/>
          <a:ext cx="1295400" cy="271491"/>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dex_LPDDR1_200MHz.inc" connectionId="1" xr16:uid="{00000000-0016-0000-03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4"/>
  <sheetViews>
    <sheetView topLeftCell="A23" zoomScaleNormal="100" workbookViewId="0">
      <selection activeCell="B40" sqref="B40"/>
    </sheetView>
  </sheetViews>
  <sheetFormatPr defaultRowHeight="12.75"/>
  <cols>
    <col min="2" max="2" width="103.85546875" customWidth="1"/>
  </cols>
  <sheetData>
    <row r="1" spans="1:7">
      <c r="A1" s="274"/>
      <c r="B1" s="16"/>
      <c r="C1" s="16"/>
      <c r="D1" s="16"/>
      <c r="E1" s="16"/>
      <c r="F1" s="16"/>
      <c r="G1" s="16"/>
    </row>
    <row r="2" spans="1:7" ht="15">
      <c r="A2" s="16"/>
      <c r="B2" s="198" t="s">
        <v>197</v>
      </c>
      <c r="C2" s="52"/>
      <c r="D2" s="52"/>
      <c r="E2" s="16"/>
      <c r="F2" s="16"/>
      <c r="G2" s="16"/>
    </row>
    <row r="3" spans="1:7" ht="15">
      <c r="A3" s="16"/>
      <c r="B3" s="198"/>
      <c r="C3" s="52"/>
      <c r="D3" s="52"/>
      <c r="E3" s="16"/>
      <c r="F3" s="16"/>
      <c r="G3" s="16"/>
    </row>
    <row r="4" spans="1:7" ht="15">
      <c r="A4" s="16"/>
      <c r="B4" s="198" t="s">
        <v>198</v>
      </c>
      <c r="C4" s="52"/>
      <c r="D4" s="52"/>
      <c r="E4" s="16"/>
      <c r="F4" s="16"/>
      <c r="G4" s="16"/>
    </row>
    <row r="5" spans="1:7" ht="15">
      <c r="A5" s="16"/>
      <c r="B5" s="198"/>
      <c r="C5" s="52"/>
      <c r="D5" s="52"/>
      <c r="E5" s="16"/>
      <c r="F5" s="16"/>
      <c r="G5" s="16"/>
    </row>
    <row r="6" spans="1:7" ht="15">
      <c r="A6" s="16"/>
      <c r="B6" s="198" t="s">
        <v>199</v>
      </c>
      <c r="C6" s="52"/>
      <c r="D6" s="52"/>
      <c r="E6" s="16"/>
      <c r="F6" s="16"/>
      <c r="G6" s="16"/>
    </row>
    <row r="7" spans="1:7" ht="15">
      <c r="A7" s="16"/>
      <c r="B7" s="198"/>
      <c r="C7" s="52"/>
      <c r="D7" s="52"/>
      <c r="E7" s="16"/>
      <c r="F7" s="16"/>
      <c r="G7" s="16"/>
    </row>
    <row r="8" spans="1:7" ht="15">
      <c r="A8" s="16"/>
      <c r="B8" s="198"/>
      <c r="C8" s="52"/>
      <c r="D8" s="52"/>
      <c r="E8" s="16"/>
      <c r="F8" s="16"/>
      <c r="G8" s="16"/>
    </row>
    <row r="9" spans="1:7" ht="15">
      <c r="A9" s="16"/>
      <c r="B9" s="198" t="s">
        <v>200</v>
      </c>
      <c r="C9" s="52"/>
      <c r="D9" s="52"/>
      <c r="E9" s="16"/>
      <c r="F9" s="16"/>
      <c r="G9" s="16"/>
    </row>
    <row r="10" spans="1:7" ht="15">
      <c r="A10" s="16"/>
      <c r="B10" s="198"/>
      <c r="C10" s="52"/>
      <c r="D10" s="52"/>
      <c r="E10" s="16"/>
      <c r="F10" s="16"/>
      <c r="G10" s="16"/>
    </row>
    <row r="11" spans="1:7" ht="15">
      <c r="A11" s="16"/>
      <c r="B11" s="198"/>
      <c r="C11" s="52"/>
      <c r="D11" s="52"/>
      <c r="E11" s="16"/>
      <c r="F11" s="16"/>
      <c r="G11" s="16"/>
    </row>
    <row r="12" spans="1:7">
      <c r="A12" s="16"/>
      <c r="B12" s="16"/>
      <c r="C12" s="52"/>
      <c r="D12" s="52"/>
      <c r="E12" s="16"/>
      <c r="F12" s="16"/>
      <c r="G12" s="16"/>
    </row>
    <row r="13" spans="1:7">
      <c r="A13" s="16"/>
      <c r="B13" s="16"/>
      <c r="C13" s="52"/>
      <c r="D13" s="52"/>
      <c r="E13" s="16"/>
      <c r="F13" s="16"/>
      <c r="G13" s="16"/>
    </row>
    <row r="14" spans="1:7">
      <c r="A14" s="16"/>
      <c r="B14" s="16"/>
      <c r="C14" s="52"/>
      <c r="D14" s="52"/>
      <c r="E14" s="16"/>
      <c r="F14" s="16"/>
      <c r="G14" s="16"/>
    </row>
    <row r="15" spans="1:7">
      <c r="A15" s="16"/>
      <c r="B15" s="16"/>
      <c r="C15" s="52"/>
      <c r="D15" s="52"/>
      <c r="E15" s="16"/>
      <c r="F15" s="16"/>
      <c r="G15" s="16"/>
    </row>
    <row r="16" spans="1:7">
      <c r="A16" s="16"/>
      <c r="B16" s="16"/>
      <c r="C16" s="52"/>
      <c r="D16" s="52"/>
      <c r="E16" s="16"/>
      <c r="F16" s="16"/>
      <c r="G16" s="16"/>
    </row>
    <row r="17" spans="1:7">
      <c r="A17" s="16"/>
      <c r="B17" s="16"/>
      <c r="C17" s="52"/>
      <c r="D17" s="52"/>
      <c r="E17" s="16"/>
      <c r="F17" s="16"/>
      <c r="G17" s="16"/>
    </row>
    <row r="18" spans="1:7">
      <c r="A18" s="16"/>
      <c r="B18" s="16"/>
      <c r="C18" s="52"/>
      <c r="D18" s="52"/>
      <c r="E18" s="16"/>
      <c r="F18" s="16"/>
      <c r="G18" s="16"/>
    </row>
    <row r="19" spans="1:7">
      <c r="A19" s="16"/>
      <c r="B19" s="16"/>
      <c r="C19" s="52"/>
      <c r="D19" s="52"/>
      <c r="E19" s="16"/>
      <c r="F19" s="16"/>
      <c r="G19" s="16"/>
    </row>
    <row r="20" spans="1:7" ht="45">
      <c r="A20" s="16"/>
      <c r="B20" s="198" t="s">
        <v>201</v>
      </c>
      <c r="C20" s="16"/>
      <c r="D20" s="16"/>
      <c r="E20" s="16"/>
      <c r="F20" s="16"/>
      <c r="G20" s="16"/>
    </row>
    <row r="21" spans="1:7" ht="15">
      <c r="A21" s="16"/>
      <c r="B21" s="198"/>
      <c r="C21" s="16"/>
      <c r="D21" s="16"/>
      <c r="E21" s="16"/>
      <c r="F21" s="16"/>
      <c r="G21" s="16"/>
    </row>
    <row r="22" spans="1:7">
      <c r="A22" s="16"/>
      <c r="B22" s="16"/>
      <c r="C22" s="16"/>
      <c r="D22" s="16"/>
      <c r="E22" s="16"/>
      <c r="F22" s="16"/>
      <c r="G22" s="16"/>
    </row>
    <row r="23" spans="1:7">
      <c r="A23" s="16"/>
      <c r="B23" s="16"/>
      <c r="C23" s="16"/>
      <c r="D23" s="16"/>
      <c r="E23" s="16"/>
      <c r="F23" s="16"/>
      <c r="G23" s="16"/>
    </row>
    <row r="24" spans="1:7">
      <c r="A24" s="16"/>
      <c r="B24" s="16"/>
      <c r="C24" s="16"/>
      <c r="D24" s="16"/>
      <c r="E24" s="16"/>
      <c r="F24" s="16"/>
      <c r="G24" s="16"/>
    </row>
    <row r="25" spans="1:7">
      <c r="A25" s="16"/>
      <c r="B25" s="16"/>
      <c r="C25" s="16"/>
      <c r="D25" s="16"/>
      <c r="E25" s="16"/>
      <c r="F25" s="16"/>
      <c r="G25" s="16"/>
    </row>
    <row r="26" spans="1:7">
      <c r="A26" s="16"/>
      <c r="B26" s="16"/>
      <c r="C26" s="16"/>
      <c r="D26" s="16"/>
      <c r="E26" s="16"/>
      <c r="F26" s="16"/>
      <c r="G26" s="16"/>
    </row>
    <row r="27" spans="1:7">
      <c r="A27" s="16"/>
      <c r="B27" s="16"/>
      <c r="C27" s="16"/>
      <c r="D27" s="16"/>
      <c r="E27" s="16"/>
      <c r="F27" s="16"/>
      <c r="G27" s="16"/>
    </row>
    <row r="28" spans="1:7">
      <c r="A28" s="16"/>
      <c r="B28" s="16"/>
      <c r="C28" s="16"/>
      <c r="D28" s="16"/>
      <c r="E28" s="16"/>
      <c r="F28" s="16"/>
      <c r="G28" s="16"/>
    </row>
    <row r="29" spans="1:7">
      <c r="A29" s="16"/>
      <c r="B29" s="16"/>
      <c r="C29" s="16"/>
      <c r="D29" s="16"/>
      <c r="E29" s="16"/>
      <c r="F29" s="16"/>
      <c r="G29" s="16"/>
    </row>
    <row r="30" spans="1:7">
      <c r="A30" s="16"/>
      <c r="B30" s="16"/>
      <c r="C30" s="16"/>
      <c r="D30" s="16"/>
      <c r="E30" s="16"/>
      <c r="F30" s="16"/>
      <c r="G30" s="16"/>
    </row>
    <row r="31" spans="1:7">
      <c r="A31" s="16"/>
      <c r="B31" s="16"/>
      <c r="C31" s="16"/>
      <c r="D31" s="16"/>
      <c r="E31" s="16"/>
      <c r="F31" s="16"/>
      <c r="G31" s="16"/>
    </row>
    <row r="32" spans="1:7">
      <c r="A32" s="16"/>
      <c r="B32" s="16"/>
      <c r="C32" s="16"/>
      <c r="D32" s="16"/>
      <c r="E32" s="16"/>
      <c r="F32" s="16"/>
      <c r="G32" s="16"/>
    </row>
    <row r="33" spans="1:7">
      <c r="A33" s="16"/>
      <c r="B33" s="16"/>
      <c r="C33" s="16"/>
      <c r="D33" s="16"/>
      <c r="E33" s="16"/>
      <c r="F33" s="16"/>
      <c r="G33" s="16"/>
    </row>
    <row r="34" spans="1:7" ht="45">
      <c r="A34" s="16"/>
      <c r="B34" s="198" t="s">
        <v>520</v>
      </c>
      <c r="C34" s="16"/>
      <c r="D34" s="16"/>
      <c r="E34" s="16"/>
      <c r="F34" s="16"/>
      <c r="G34" s="16"/>
    </row>
    <row r="35" spans="1:7" ht="15">
      <c r="A35" s="16"/>
      <c r="B35" s="198"/>
      <c r="C35" s="16"/>
      <c r="D35" s="16"/>
      <c r="E35" s="16"/>
      <c r="F35" s="16"/>
      <c r="G35" s="16"/>
    </row>
    <row r="36" spans="1:7" ht="15">
      <c r="A36" s="16"/>
      <c r="B36" s="198"/>
      <c r="C36" s="16"/>
      <c r="D36" s="16"/>
      <c r="E36" s="16"/>
      <c r="F36" s="16"/>
      <c r="G36" s="16"/>
    </row>
    <row r="37" spans="1:7" ht="30">
      <c r="A37" s="16"/>
      <c r="B37" s="198" t="s">
        <v>521</v>
      </c>
      <c r="C37" s="16"/>
      <c r="D37" s="16"/>
      <c r="E37" s="16"/>
      <c r="F37" s="16"/>
      <c r="G37" s="16"/>
    </row>
    <row r="38" spans="1:7" ht="15">
      <c r="A38" s="16"/>
      <c r="B38" s="198"/>
      <c r="C38" s="16"/>
      <c r="D38" s="16"/>
      <c r="E38" s="16"/>
      <c r="F38" s="16"/>
      <c r="G38" s="16"/>
    </row>
    <row r="39" spans="1:7" ht="15">
      <c r="A39" s="16"/>
      <c r="B39" s="198" t="s">
        <v>522</v>
      </c>
      <c r="C39" s="16"/>
      <c r="D39" s="16"/>
      <c r="E39" s="16"/>
      <c r="F39" s="16"/>
      <c r="G39" s="16"/>
    </row>
    <row r="40" spans="1:7" ht="54.75">
      <c r="A40" s="16"/>
      <c r="B40" s="313" t="s">
        <v>699</v>
      </c>
      <c r="C40" s="16"/>
      <c r="D40" s="16"/>
      <c r="E40" s="16"/>
      <c r="F40" s="16"/>
      <c r="G40" s="16"/>
    </row>
    <row r="41" spans="1:7">
      <c r="A41" s="16"/>
      <c r="B41" s="47"/>
      <c r="C41" s="16"/>
      <c r="D41" s="16"/>
      <c r="E41" s="16"/>
      <c r="F41" s="16"/>
      <c r="G41" s="16"/>
    </row>
    <row r="42" spans="1:7">
      <c r="A42" s="16"/>
      <c r="B42" s="16"/>
      <c r="C42" s="16"/>
      <c r="D42" s="16"/>
      <c r="E42" s="16"/>
      <c r="F42" s="16"/>
      <c r="G42" s="16"/>
    </row>
    <row r="43" spans="1:7">
      <c r="A43" s="16"/>
      <c r="B43" s="16"/>
      <c r="C43" s="16"/>
      <c r="D43" s="16"/>
      <c r="E43" s="16"/>
      <c r="F43" s="16"/>
      <c r="G43" s="16"/>
    </row>
    <row r="44" spans="1:7">
      <c r="A44" s="16"/>
      <c r="B44" s="16"/>
      <c r="C44" s="16"/>
      <c r="D44" s="16"/>
      <c r="E44" s="16"/>
      <c r="F44" s="16"/>
      <c r="G44" s="16"/>
    </row>
  </sheetData>
  <phoneticPr fontId="24"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23"/>
  <sheetViews>
    <sheetView workbookViewId="0">
      <selection activeCell="C13" sqref="C13"/>
    </sheetView>
  </sheetViews>
  <sheetFormatPr defaultRowHeight="12.75"/>
  <cols>
    <col min="2" max="2" width="22" bestFit="1" customWidth="1"/>
    <col min="3" max="3" width="34.42578125" bestFit="1" customWidth="1"/>
  </cols>
  <sheetData>
    <row r="2" spans="2:3">
      <c r="B2" s="308" t="s">
        <v>519</v>
      </c>
    </row>
    <row r="3" spans="2:3" ht="63.75">
      <c r="B3" s="309">
        <v>1.1000000000000001</v>
      </c>
      <c r="C3" s="329" t="s">
        <v>693</v>
      </c>
    </row>
    <row r="6" spans="2:3" ht="15.75">
      <c r="B6" s="331" t="s">
        <v>58</v>
      </c>
      <c r="C6" s="331"/>
    </row>
    <row r="7" spans="2:3" ht="25.5">
      <c r="B7" s="309" t="s">
        <v>516</v>
      </c>
      <c r="C7" s="309" t="s">
        <v>517</v>
      </c>
    </row>
    <row r="8" spans="2:3">
      <c r="B8" s="309">
        <v>0.1</v>
      </c>
      <c r="C8" s="311" t="s">
        <v>518</v>
      </c>
    </row>
    <row r="9" spans="2:3">
      <c r="B9" s="309">
        <v>0.2</v>
      </c>
      <c r="C9" s="310" t="s">
        <v>527</v>
      </c>
    </row>
    <row r="10" spans="2:3">
      <c r="B10" s="309">
        <v>0.3</v>
      </c>
      <c r="C10" s="310" t="s">
        <v>683</v>
      </c>
    </row>
    <row r="11" spans="2:3" ht="25.5">
      <c r="B11" s="309">
        <v>0.4</v>
      </c>
      <c r="C11" s="325" t="s">
        <v>687</v>
      </c>
    </row>
    <row r="12" spans="2:3" ht="51">
      <c r="B12" s="324" t="s">
        <v>688</v>
      </c>
      <c r="C12" s="325" t="s">
        <v>689</v>
      </c>
    </row>
    <row r="13" spans="2:3" ht="63.75">
      <c r="B13" s="309">
        <v>1.1000000000000001</v>
      </c>
      <c r="C13" s="329" t="s">
        <v>693</v>
      </c>
    </row>
    <row r="14" spans="2:3">
      <c r="B14" s="309"/>
      <c r="C14" s="312"/>
    </row>
    <row r="15" spans="2:3">
      <c r="B15" s="309"/>
      <c r="C15" s="312"/>
    </row>
    <row r="16" spans="2:3">
      <c r="B16" s="309"/>
      <c r="C16" s="312"/>
    </row>
    <row r="17" spans="2:3">
      <c r="B17" s="309"/>
      <c r="C17" s="312"/>
    </row>
    <row r="18" spans="2:3">
      <c r="B18" s="309"/>
      <c r="C18" s="312"/>
    </row>
    <row r="19" spans="2:3">
      <c r="B19" s="309"/>
      <c r="C19" s="312"/>
    </row>
    <row r="20" spans="2:3">
      <c r="B20" s="309"/>
      <c r="C20" s="312"/>
    </row>
    <row r="21" spans="2:3">
      <c r="B21" s="309"/>
      <c r="C21" s="312"/>
    </row>
    <row r="22" spans="2:3">
      <c r="B22" s="309"/>
      <c r="C22" s="312"/>
    </row>
    <row r="23" spans="2:3">
      <c r="B23" s="309"/>
      <c r="C23" s="312"/>
    </row>
  </sheetData>
  <mergeCells count="1">
    <mergeCell ref="B6:C6"/>
  </mergeCells>
  <phoneticPr fontId="2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282"/>
  <sheetViews>
    <sheetView showGridLines="0" tabSelected="1" topLeftCell="A7" zoomScale="85" zoomScaleNormal="85" workbookViewId="0">
      <selection activeCell="C24" sqref="C24:D24"/>
    </sheetView>
  </sheetViews>
  <sheetFormatPr defaultRowHeight="12.75"/>
  <cols>
    <col min="1" max="1" width="3.42578125" style="16" customWidth="1"/>
    <col min="2" max="2" width="35.85546875" customWidth="1"/>
    <col min="3" max="3" width="15.5703125" customWidth="1"/>
    <col min="4" max="4" width="19" customWidth="1"/>
    <col min="5" max="5" width="13.85546875" style="1" customWidth="1"/>
    <col min="6" max="6" width="54.5703125" customWidth="1"/>
    <col min="7" max="7" width="19.42578125" style="1" customWidth="1"/>
    <col min="8" max="8" width="15" style="1" customWidth="1"/>
    <col min="9" max="9" width="14.85546875" style="1" customWidth="1"/>
    <col min="10" max="10" width="16.42578125" customWidth="1"/>
    <col min="11" max="11" width="12.140625" style="16" customWidth="1"/>
    <col min="12" max="12" width="16.5703125" style="16" customWidth="1"/>
    <col min="13" max="14" width="10" style="16" bestFit="1" customWidth="1"/>
    <col min="15" max="21" width="4.7109375" style="16" customWidth="1"/>
    <col min="22" max="22" width="9.140625" style="16"/>
  </cols>
  <sheetData>
    <row r="1" spans="1:42">
      <c r="B1" s="17"/>
      <c r="C1" s="16"/>
      <c r="D1" s="16"/>
      <c r="E1" s="16"/>
      <c r="F1" s="16"/>
      <c r="G1" s="119"/>
      <c r="H1" s="16"/>
      <c r="I1" s="16"/>
      <c r="J1" s="16"/>
      <c r="W1" s="16"/>
      <c r="X1" s="16"/>
      <c r="Y1" s="16"/>
      <c r="Z1" s="16"/>
      <c r="AA1" s="16"/>
      <c r="AB1" s="16"/>
      <c r="AC1" s="16"/>
      <c r="AD1" s="16"/>
      <c r="AE1" s="16"/>
      <c r="AF1" s="16"/>
      <c r="AG1" s="16"/>
      <c r="AH1" s="16"/>
      <c r="AI1" s="16"/>
      <c r="AJ1" s="16"/>
      <c r="AK1" s="16"/>
      <c r="AL1" s="16"/>
      <c r="AM1" s="16"/>
      <c r="AN1" s="16"/>
      <c r="AO1" s="16"/>
      <c r="AP1" s="16"/>
    </row>
    <row r="2" spans="1:42">
      <c r="B2" s="16"/>
      <c r="C2" s="16"/>
      <c r="D2" s="16"/>
      <c r="E2" s="16"/>
      <c r="F2" s="16"/>
      <c r="G2" s="119"/>
      <c r="H2" s="16"/>
      <c r="I2" s="16"/>
      <c r="J2" s="16"/>
      <c r="W2" s="16"/>
      <c r="X2" s="16"/>
      <c r="Y2" s="16"/>
      <c r="Z2" s="16"/>
      <c r="AA2" s="16"/>
      <c r="AB2" s="16"/>
      <c r="AC2" s="16"/>
      <c r="AD2" s="16"/>
      <c r="AE2" s="16"/>
      <c r="AF2" s="16"/>
      <c r="AG2" s="16"/>
      <c r="AH2" s="16"/>
      <c r="AI2" s="16"/>
      <c r="AJ2" s="16"/>
      <c r="AK2" s="16"/>
      <c r="AL2" s="16"/>
      <c r="AM2" s="16"/>
      <c r="AN2" s="16"/>
      <c r="AO2" s="16"/>
    </row>
    <row r="3" spans="1:42" s="19" customFormat="1" ht="35.25">
      <c r="A3" s="21"/>
      <c r="C3" s="20" t="s">
        <v>694</v>
      </c>
      <c r="D3" s="18"/>
      <c r="E3" s="18"/>
      <c r="F3" s="18"/>
      <c r="G3" s="120"/>
      <c r="H3" s="18"/>
      <c r="I3" s="18"/>
      <c r="J3" s="18"/>
      <c r="K3" s="21"/>
      <c r="L3" s="21"/>
      <c r="M3" s="21"/>
      <c r="N3" s="21"/>
      <c r="O3" s="21"/>
      <c r="P3" s="21"/>
      <c r="Q3" s="21"/>
      <c r="R3" s="21"/>
      <c r="S3" s="21"/>
      <c r="T3" s="21"/>
      <c r="U3" s="21"/>
      <c r="V3" s="21"/>
      <c r="W3" s="18"/>
      <c r="X3" s="18"/>
      <c r="Y3" s="18"/>
      <c r="Z3" s="18"/>
      <c r="AA3" s="18"/>
      <c r="AB3" s="18"/>
      <c r="AC3" s="18"/>
      <c r="AD3" s="18"/>
      <c r="AE3" s="18"/>
      <c r="AF3" s="18"/>
      <c r="AG3" s="18"/>
      <c r="AH3" s="18"/>
      <c r="AI3" s="18"/>
      <c r="AJ3" s="18"/>
      <c r="AK3" s="18"/>
      <c r="AL3" s="18"/>
      <c r="AM3" s="18"/>
      <c r="AN3" s="18"/>
    </row>
    <row r="4" spans="1:42" s="19" customFormat="1" ht="30.75" thickBot="1">
      <c r="A4" s="21"/>
      <c r="C4" s="460" t="s">
        <v>695</v>
      </c>
      <c r="D4" s="460"/>
      <c r="E4" s="460"/>
      <c r="F4" s="460"/>
      <c r="G4" s="460"/>
      <c r="H4" s="18"/>
      <c r="I4" s="18"/>
      <c r="J4" s="18"/>
      <c r="K4" s="21"/>
      <c r="L4" s="21"/>
      <c r="M4" s="21"/>
      <c r="N4" s="21"/>
      <c r="O4" s="21"/>
      <c r="P4" s="21"/>
      <c r="Q4" s="21"/>
      <c r="R4" s="21"/>
      <c r="S4" s="21"/>
      <c r="T4" s="21"/>
      <c r="U4" s="21"/>
      <c r="V4" s="21"/>
      <c r="W4" s="18"/>
      <c r="X4" s="18"/>
      <c r="Y4" s="18"/>
      <c r="Z4" s="18"/>
      <c r="AA4" s="18"/>
      <c r="AB4" s="18"/>
      <c r="AC4" s="18"/>
      <c r="AD4" s="18"/>
      <c r="AE4" s="18"/>
      <c r="AF4" s="18"/>
      <c r="AG4" s="18"/>
      <c r="AH4" s="18"/>
      <c r="AI4" s="18"/>
      <c r="AJ4" s="18"/>
      <c r="AK4" s="18"/>
      <c r="AL4" s="18"/>
      <c r="AM4" s="18"/>
      <c r="AN4" s="18"/>
    </row>
    <row r="5" spans="1:42" ht="15.75">
      <c r="B5" s="41" t="s">
        <v>45</v>
      </c>
      <c r="C5" s="42"/>
      <c r="D5" s="42"/>
      <c r="E5" s="43"/>
      <c r="F5" s="41" t="s">
        <v>53</v>
      </c>
      <c r="G5" s="43"/>
      <c r="H5" s="23"/>
      <c r="I5" s="23"/>
      <c r="J5" s="16"/>
      <c r="AJ5" s="57" t="s">
        <v>57</v>
      </c>
      <c r="AK5" s="3" t="s">
        <v>40</v>
      </c>
      <c r="AL5" s="3" t="s">
        <v>46</v>
      </c>
      <c r="AN5" s="14" t="s">
        <v>57</v>
      </c>
      <c r="AO5" s="57" t="s">
        <v>59</v>
      </c>
    </row>
    <row r="6" spans="1:42">
      <c r="B6" s="388" t="s">
        <v>52</v>
      </c>
      <c r="C6" s="389"/>
      <c r="D6" s="389"/>
      <c r="E6" s="390"/>
      <c r="F6" s="408" t="s">
        <v>55</v>
      </c>
      <c r="G6" s="410"/>
      <c r="H6" s="23"/>
      <c r="I6" s="23"/>
      <c r="J6" s="16"/>
      <c r="AJ6" s="14" t="s">
        <v>32</v>
      </c>
      <c r="AK6" s="3" t="s">
        <v>41</v>
      </c>
      <c r="AL6" s="3" t="s">
        <v>47</v>
      </c>
      <c r="AN6" s="14" t="s">
        <v>32</v>
      </c>
      <c r="AO6" s="57" t="s">
        <v>60</v>
      </c>
    </row>
    <row r="7" spans="1:42">
      <c r="B7" s="391"/>
      <c r="C7" s="389"/>
      <c r="D7" s="389"/>
      <c r="E7" s="390"/>
      <c r="F7" s="408"/>
      <c r="G7" s="411"/>
      <c r="H7" s="23"/>
      <c r="I7" s="23"/>
      <c r="J7" s="16"/>
      <c r="AJ7" s="14" t="s">
        <v>33</v>
      </c>
      <c r="AK7" s="3" t="s">
        <v>42</v>
      </c>
      <c r="AL7" s="3" t="s">
        <v>48</v>
      </c>
      <c r="AN7" s="14" t="s">
        <v>33</v>
      </c>
      <c r="AO7" s="57" t="s">
        <v>61</v>
      </c>
    </row>
    <row r="8" spans="1:42">
      <c r="B8" s="391"/>
      <c r="C8" s="389"/>
      <c r="D8" s="389"/>
      <c r="E8" s="390"/>
      <c r="F8" s="408" t="s">
        <v>63</v>
      </c>
      <c r="G8" s="412"/>
      <c r="H8" s="23"/>
      <c r="I8" s="23"/>
      <c r="J8" s="16"/>
      <c r="AJ8" s="14" t="s">
        <v>34</v>
      </c>
      <c r="AK8" s="3"/>
      <c r="AL8" s="3"/>
      <c r="AN8" s="14" t="s">
        <v>34</v>
      </c>
      <c r="AO8" s="57" t="s">
        <v>62</v>
      </c>
    </row>
    <row r="9" spans="1:42">
      <c r="B9" s="391"/>
      <c r="C9" s="389"/>
      <c r="D9" s="389"/>
      <c r="E9" s="390"/>
      <c r="F9" s="408"/>
      <c r="G9" s="413"/>
      <c r="H9" s="23"/>
      <c r="I9" s="23"/>
      <c r="J9" s="16"/>
      <c r="AJ9" s="14" t="s">
        <v>35</v>
      </c>
      <c r="AK9" s="3"/>
      <c r="AL9" s="3"/>
      <c r="AN9" s="14" t="s">
        <v>35</v>
      </c>
      <c r="AO9" s="14"/>
    </row>
    <row r="10" spans="1:42" ht="51">
      <c r="B10" s="391"/>
      <c r="C10" s="389"/>
      <c r="D10" s="389"/>
      <c r="E10" s="390"/>
      <c r="F10" s="194" t="s">
        <v>189</v>
      </c>
      <c r="G10" s="195" t="s">
        <v>188</v>
      </c>
      <c r="H10" s="23"/>
      <c r="I10" s="23"/>
      <c r="J10" s="16"/>
      <c r="AJ10" s="14" t="s">
        <v>36</v>
      </c>
      <c r="AK10" s="3"/>
      <c r="AL10" s="3"/>
      <c r="AN10" s="14"/>
      <c r="AO10" s="14"/>
    </row>
    <row r="11" spans="1:42" ht="38.25">
      <c r="B11" s="391"/>
      <c r="C11" s="389"/>
      <c r="D11" s="389"/>
      <c r="E11" s="390"/>
      <c r="F11" s="194" t="s">
        <v>196</v>
      </c>
      <c r="G11" s="196"/>
      <c r="H11" s="23"/>
      <c r="I11" s="23"/>
      <c r="J11" s="16"/>
      <c r="AJ11" s="14"/>
      <c r="AK11" s="3"/>
      <c r="AL11" s="3"/>
      <c r="AN11" s="14"/>
      <c r="AO11" s="14"/>
    </row>
    <row r="12" spans="1:42">
      <c r="B12" s="391"/>
      <c r="C12" s="389"/>
      <c r="D12" s="389"/>
      <c r="E12" s="390"/>
      <c r="F12" s="408" t="s">
        <v>54</v>
      </c>
      <c r="G12" s="414"/>
      <c r="H12" s="23"/>
      <c r="I12" s="23"/>
      <c r="J12" s="16"/>
      <c r="AJ12" s="56">
        <v>110</v>
      </c>
      <c r="AN12" s="14" t="s">
        <v>36</v>
      </c>
      <c r="AO12" s="14"/>
    </row>
    <row r="13" spans="1:42" ht="13.5" thickBot="1">
      <c r="B13" s="392"/>
      <c r="C13" s="393"/>
      <c r="D13" s="393"/>
      <c r="E13" s="394"/>
      <c r="F13" s="409"/>
      <c r="G13" s="415"/>
      <c r="H13" s="23"/>
      <c r="I13" s="23"/>
      <c r="J13" s="16"/>
      <c r="AJ13" s="48" t="s">
        <v>37</v>
      </c>
      <c r="AN13" s="56">
        <v>110</v>
      </c>
      <c r="AO13" s="56"/>
    </row>
    <row r="14" spans="1:42" s="16" customFormat="1" ht="13.5" thickBot="1">
      <c r="B14" s="47"/>
      <c r="E14" s="23"/>
      <c r="G14" s="23"/>
      <c r="H14" s="23"/>
      <c r="I14" s="23"/>
      <c r="AJ14"/>
      <c r="AN14" s="48" t="s">
        <v>37</v>
      </c>
      <c r="AO14" s="48"/>
    </row>
    <row r="15" spans="1:42" ht="15.75">
      <c r="B15" s="41" t="s">
        <v>43</v>
      </c>
      <c r="C15" s="42"/>
      <c r="D15" s="50"/>
      <c r="E15" s="23"/>
      <c r="F15" s="406" t="s">
        <v>58</v>
      </c>
      <c r="G15" s="407"/>
      <c r="H15" s="23"/>
      <c r="I15" s="23"/>
      <c r="J15" s="16"/>
    </row>
    <row r="16" spans="1:42">
      <c r="B16" s="44" t="s">
        <v>697</v>
      </c>
      <c r="C16" s="403" t="s">
        <v>696</v>
      </c>
      <c r="D16" s="404"/>
      <c r="E16" s="23"/>
      <c r="F16" s="336" t="s">
        <v>523</v>
      </c>
      <c r="G16" s="337"/>
      <c r="H16" s="23"/>
      <c r="I16" s="23"/>
      <c r="J16" s="16"/>
    </row>
    <row r="17" spans="2:36">
      <c r="B17" s="44" t="s">
        <v>9</v>
      </c>
      <c r="C17" s="332" t="s">
        <v>242</v>
      </c>
      <c r="D17" s="333"/>
      <c r="E17" s="23"/>
      <c r="F17" s="336"/>
      <c r="G17" s="337"/>
      <c r="H17" s="23"/>
      <c r="I17" s="23"/>
      <c r="J17" s="16"/>
    </row>
    <row r="18" spans="2:36">
      <c r="B18" s="44" t="s">
        <v>49</v>
      </c>
      <c r="C18" s="395" t="s">
        <v>243</v>
      </c>
      <c r="D18" s="396"/>
      <c r="E18" s="23"/>
      <c r="F18" s="336"/>
      <c r="G18" s="337"/>
      <c r="H18" s="23"/>
      <c r="I18" s="23"/>
      <c r="J18" s="16"/>
    </row>
    <row r="19" spans="2:36">
      <c r="B19" s="44" t="s">
        <v>10</v>
      </c>
      <c r="C19" s="395" t="s">
        <v>360</v>
      </c>
      <c r="D19" s="396"/>
      <c r="E19" s="23"/>
      <c r="F19" s="336"/>
      <c r="G19" s="337"/>
      <c r="H19" s="23"/>
      <c r="I19" s="23"/>
      <c r="J19" s="16"/>
    </row>
    <row r="20" spans="2:36">
      <c r="B20" s="106" t="s">
        <v>221</v>
      </c>
      <c r="C20" s="358">
        <v>2</v>
      </c>
      <c r="D20" s="359"/>
      <c r="E20" s="23"/>
      <c r="F20" s="336"/>
      <c r="G20" s="337"/>
      <c r="H20" s="23"/>
      <c r="I20" s="23"/>
      <c r="J20" s="16"/>
    </row>
    <row r="21" spans="2:36" ht="14.25">
      <c r="B21" s="44" t="s">
        <v>220</v>
      </c>
      <c r="C21" s="340">
        <v>1</v>
      </c>
      <c r="D21" s="341"/>
      <c r="E21" s="23"/>
      <c r="F21" s="336"/>
      <c r="G21" s="337"/>
      <c r="H21" s="23"/>
      <c r="I21" s="23"/>
      <c r="J21" s="16"/>
    </row>
    <row r="22" spans="2:36" ht="14.25">
      <c r="B22" s="44" t="s">
        <v>202</v>
      </c>
      <c r="C22" s="377">
        <f>(C20*C21)</f>
        <v>2</v>
      </c>
      <c r="D22" s="378"/>
      <c r="E22" s="23"/>
      <c r="F22" s="336"/>
      <c r="G22" s="337"/>
      <c r="H22" s="23"/>
      <c r="I22" s="23"/>
      <c r="J22" s="16"/>
    </row>
    <row r="23" spans="2:36" ht="14.25">
      <c r="B23" s="44" t="s">
        <v>193</v>
      </c>
      <c r="C23" s="360">
        <v>14</v>
      </c>
      <c r="D23" s="361"/>
      <c r="E23" s="23"/>
      <c r="F23" s="336"/>
      <c r="G23" s="337"/>
      <c r="H23" s="23"/>
      <c r="I23" s="23"/>
      <c r="J23" s="16"/>
    </row>
    <row r="24" spans="2:36" ht="14.25">
      <c r="B24" s="44" t="s">
        <v>194</v>
      </c>
      <c r="C24" s="360">
        <v>10</v>
      </c>
      <c r="D24" s="361"/>
      <c r="E24" s="23"/>
      <c r="F24" s="336"/>
      <c r="G24" s="337"/>
      <c r="H24" s="23"/>
      <c r="I24" s="23"/>
      <c r="J24" s="16"/>
    </row>
    <row r="25" spans="2:36" ht="14.25">
      <c r="B25" s="44" t="s">
        <v>195</v>
      </c>
      <c r="C25" s="360">
        <v>8</v>
      </c>
      <c r="D25" s="361"/>
      <c r="E25" s="23"/>
      <c r="F25" s="336"/>
      <c r="G25" s="337"/>
      <c r="H25" s="23"/>
      <c r="I25" s="23"/>
      <c r="J25" s="16"/>
    </row>
    <row r="26" spans="2:36">
      <c r="B26" s="45" t="s">
        <v>698</v>
      </c>
      <c r="C26" s="362">
        <v>16</v>
      </c>
      <c r="D26" s="363"/>
      <c r="E26" s="23"/>
      <c r="F26" s="336"/>
      <c r="G26" s="337"/>
      <c r="H26" s="23"/>
      <c r="I26" s="23"/>
      <c r="J26" s="16"/>
    </row>
    <row r="27" spans="2:36" ht="14.25">
      <c r="B27" s="45" t="s">
        <v>192</v>
      </c>
      <c r="C27" s="360">
        <v>400</v>
      </c>
      <c r="D27" s="361"/>
      <c r="E27" s="23"/>
      <c r="F27" s="336"/>
      <c r="G27" s="337"/>
      <c r="H27" s="23"/>
      <c r="I27" s="23"/>
      <c r="J27" s="16"/>
    </row>
    <row r="28" spans="2:36" ht="15" thickBot="1">
      <c r="B28" s="46" t="s">
        <v>44</v>
      </c>
      <c r="C28" s="422">
        <f>ROUNDDOWN((1/C27)*1000, 3)</f>
        <v>2.5</v>
      </c>
      <c r="D28" s="423"/>
      <c r="E28" s="23"/>
      <c r="F28" s="338"/>
      <c r="G28" s="339"/>
      <c r="H28" s="23"/>
      <c r="I28" s="23"/>
      <c r="J28" s="16"/>
      <c r="AJ28" s="16"/>
    </row>
    <row r="29" spans="2:36" ht="32.25" customHeight="1">
      <c r="B29" s="375" t="s">
        <v>190</v>
      </c>
      <c r="C29" s="376"/>
      <c r="D29" s="376"/>
      <c r="E29" s="23"/>
      <c r="F29" s="22"/>
      <c r="G29" s="53"/>
      <c r="H29" s="23"/>
      <c r="I29" s="23"/>
      <c r="J29" s="16"/>
      <c r="AJ29" s="16"/>
    </row>
    <row r="30" spans="2:36" ht="22.5" customHeight="1">
      <c r="B30" s="367" t="s">
        <v>191</v>
      </c>
      <c r="C30" s="368"/>
      <c r="D30" s="368"/>
      <c r="E30" s="23"/>
      <c r="F30" s="22"/>
      <c r="G30" s="53"/>
      <c r="H30" s="23"/>
      <c r="I30" s="23"/>
      <c r="J30" s="16"/>
      <c r="AJ30" s="16"/>
    </row>
    <row r="31" spans="2:36">
      <c r="B31" s="367" t="s">
        <v>222</v>
      </c>
      <c r="C31" s="368"/>
      <c r="D31" s="368"/>
      <c r="E31" s="23"/>
      <c r="F31" s="22"/>
      <c r="G31" s="53"/>
      <c r="H31" s="23"/>
      <c r="I31" s="23"/>
      <c r="J31" s="16"/>
      <c r="AJ31" s="16"/>
    </row>
    <row r="32" spans="2:36" s="16" customFormat="1" ht="15" thickBot="1">
      <c r="C32" s="49"/>
      <c r="E32" s="23"/>
      <c r="G32" s="23"/>
      <c r="H32" s="23"/>
      <c r="I32" s="23"/>
      <c r="AJ32"/>
    </row>
    <row r="33" spans="2:35" ht="26.25" thickBot="1">
      <c r="B33" s="59" t="s">
        <v>176</v>
      </c>
      <c r="C33" s="183" t="s">
        <v>177</v>
      </c>
      <c r="D33" s="2" t="s">
        <v>39</v>
      </c>
      <c r="E33" s="2" t="s">
        <v>7</v>
      </c>
      <c r="F33" s="7" t="s">
        <v>1</v>
      </c>
      <c r="G33" s="121" t="s">
        <v>3</v>
      </c>
      <c r="H33" s="8" t="s">
        <v>30</v>
      </c>
      <c r="I33" s="8" t="s">
        <v>155</v>
      </c>
      <c r="J33" s="16"/>
      <c r="V33"/>
      <c r="AI33" s="15"/>
    </row>
    <row r="34" spans="2:35" ht="3.75" customHeight="1" thickBot="1">
      <c r="B34" s="101"/>
      <c r="C34" s="157"/>
      <c r="D34" s="101"/>
      <c r="E34" s="101"/>
      <c r="F34" s="102"/>
      <c r="G34" s="103"/>
      <c r="H34" s="103"/>
      <c r="I34" s="103"/>
      <c r="J34" s="16"/>
      <c r="V34"/>
      <c r="AI34" s="15"/>
    </row>
    <row r="35" spans="2:35" s="115" customFormat="1" ht="54" customHeight="1" thickBot="1">
      <c r="B35" s="175" t="s">
        <v>169</v>
      </c>
      <c r="C35" s="158" t="s">
        <v>156</v>
      </c>
      <c r="D35" s="189">
        <v>1</v>
      </c>
      <c r="E35" s="158" t="str">
        <f>DEC2HEX((BIN2DEC(D35)*2^17),8)</f>
        <v>00020000</v>
      </c>
      <c r="F35" s="176" t="s">
        <v>373</v>
      </c>
      <c r="G35" s="162" t="s">
        <v>174</v>
      </c>
      <c r="H35" s="275" t="s">
        <v>372</v>
      </c>
      <c r="I35" s="264" t="str">
        <f>"0x"&amp;(DEC2HEX(HEX2DEC(E35),8))</f>
        <v>0x00020000</v>
      </c>
      <c r="AH35" s="13"/>
    </row>
    <row r="36" spans="2:35" s="115" customFormat="1" ht="34.5" thickBot="1">
      <c r="B36" s="173" t="s">
        <v>171</v>
      </c>
      <c r="C36" s="123" t="s">
        <v>162</v>
      </c>
      <c r="D36" s="190">
        <v>0</v>
      </c>
      <c r="E36" s="123" t="str">
        <f>DEC2HEX((BIN2DEC(D36)*2^12),8)</f>
        <v>00000000</v>
      </c>
      <c r="F36" s="174" t="s">
        <v>178</v>
      </c>
      <c r="G36" s="159" t="s">
        <v>172</v>
      </c>
      <c r="H36" s="265" t="s">
        <v>371</v>
      </c>
      <c r="I36" s="266" t="str">
        <f>"0x"&amp;(DEC2HEX(HEX2DEC(E36),8))</f>
        <v>0x00000000</v>
      </c>
      <c r="AH36" s="13"/>
    </row>
    <row r="37" spans="2:35" s="115" customFormat="1" ht="25.5" customHeight="1">
      <c r="B37" s="374" t="s">
        <v>239</v>
      </c>
      <c r="C37" s="131" t="s">
        <v>156</v>
      </c>
      <c r="D37" s="165">
        <v>0</v>
      </c>
      <c r="E37" s="131" t="str">
        <f>DEC2HEX((BIN2DEC(D37)*2^17),8)</f>
        <v>00000000</v>
      </c>
      <c r="F37" s="178" t="s">
        <v>180</v>
      </c>
      <c r="G37" s="416" t="s">
        <v>361</v>
      </c>
      <c r="H37" s="364" t="s">
        <v>374</v>
      </c>
      <c r="I37" s="345" t="str">
        <f>"0x"&amp;(DEC2HEX(HEX2DEC(E38)+HEX2DEC(E37),8))</f>
        <v>0x00000030</v>
      </c>
      <c r="AI37" s="13"/>
    </row>
    <row r="38" spans="2:35" s="115" customFormat="1" ht="45.75" thickBot="1">
      <c r="B38" s="373"/>
      <c r="C38" s="134" t="s">
        <v>31</v>
      </c>
      <c r="D38" s="186">
        <v>110</v>
      </c>
      <c r="E38" s="126" t="str">
        <f>DEC2HEX((BIN2DEC(D38)*2^3),8)</f>
        <v>00000030</v>
      </c>
      <c r="F38" s="179" t="s">
        <v>38</v>
      </c>
      <c r="G38" s="417"/>
      <c r="H38" s="366"/>
      <c r="I38" s="347"/>
      <c r="AI38" s="13"/>
    </row>
    <row r="39" spans="2:35" s="115" customFormat="1" ht="22.5" customHeight="1">
      <c r="B39" s="374" t="s">
        <v>181</v>
      </c>
      <c r="C39" s="131" t="s">
        <v>156</v>
      </c>
      <c r="D39" s="165">
        <v>0</v>
      </c>
      <c r="E39" s="131" t="str">
        <f>DEC2HEX((BIN2DEC(D39)*2^17),8)</f>
        <v>00000000</v>
      </c>
      <c r="F39" s="178" t="s">
        <v>180</v>
      </c>
      <c r="G39" s="416" t="s">
        <v>157</v>
      </c>
      <c r="H39" s="275" t="s">
        <v>387</v>
      </c>
      <c r="I39" s="345" t="str">
        <f>"0x"&amp;(DEC2HEX(HEX2DEC(E40)+HEX2DEC(E39),8))</f>
        <v>0x00000030</v>
      </c>
      <c r="AI39" s="13"/>
    </row>
    <row r="40" spans="2:35" s="115" customFormat="1" ht="45.75" thickBot="1">
      <c r="B40" s="373"/>
      <c r="C40" s="134" t="s">
        <v>31</v>
      </c>
      <c r="D40" s="186">
        <v>110</v>
      </c>
      <c r="E40" s="126" t="str">
        <f>DEC2HEX((BIN2DEC(D40)*2^3),8)</f>
        <v>00000030</v>
      </c>
      <c r="F40" s="179" t="s">
        <v>38</v>
      </c>
      <c r="G40" s="417"/>
      <c r="H40" s="277" t="s">
        <v>386</v>
      </c>
      <c r="I40" s="347"/>
      <c r="AI40" s="13"/>
    </row>
    <row r="41" spans="2:35" s="115" customFormat="1" ht="114.75" customHeight="1">
      <c r="B41" s="374" t="s">
        <v>165</v>
      </c>
      <c r="C41" s="212" t="s">
        <v>175</v>
      </c>
      <c r="D41" s="217">
        <v>11</v>
      </c>
      <c r="E41" s="212" t="str">
        <f>DEC2HEX((BIN2DEC(D41)*2^18),8)</f>
        <v>000C0000</v>
      </c>
      <c r="F41" s="178" t="s">
        <v>692</v>
      </c>
      <c r="G41" s="416" t="s">
        <v>158</v>
      </c>
      <c r="H41" s="364" t="s">
        <v>375</v>
      </c>
      <c r="I41" s="345" t="str">
        <f>"0x"&amp;(DEC2HEX(HEX2DEC(E43)+HEX2DEC(E42)+HEX2DEC(E41),8))</f>
        <v>0x000C0030</v>
      </c>
      <c r="AI41" s="13"/>
    </row>
    <row r="42" spans="2:35" s="115" customFormat="1" ht="25.5" customHeight="1">
      <c r="B42" s="372"/>
      <c r="C42" s="62" t="s">
        <v>156</v>
      </c>
      <c r="D42" s="184">
        <v>0</v>
      </c>
      <c r="E42" s="62" t="str">
        <f>DEC2HEX((BIN2DEC(D42)*2^17),8)</f>
        <v>00000000</v>
      </c>
      <c r="F42" s="185" t="s">
        <v>180</v>
      </c>
      <c r="G42" s="418"/>
      <c r="H42" s="365"/>
      <c r="I42" s="382"/>
      <c r="AI42" s="13"/>
    </row>
    <row r="43" spans="2:35" s="115" customFormat="1" ht="45.75" thickBot="1">
      <c r="B43" s="373"/>
      <c r="C43" s="134" t="s">
        <v>31</v>
      </c>
      <c r="D43" s="186">
        <v>110</v>
      </c>
      <c r="E43" s="126" t="str">
        <f>DEC2HEX((BIN2DEC(D43)*2^3),8)</f>
        <v>00000030</v>
      </c>
      <c r="F43" s="179" t="s">
        <v>38</v>
      </c>
      <c r="G43" s="417"/>
      <c r="H43" s="366"/>
      <c r="I43" s="347"/>
      <c r="AI43" s="13"/>
    </row>
    <row r="44" spans="2:35" s="115" customFormat="1" ht="25.5" customHeight="1">
      <c r="B44" s="369" t="s">
        <v>184</v>
      </c>
      <c r="C44" s="222" t="s">
        <v>156</v>
      </c>
      <c r="D44" s="165">
        <v>0</v>
      </c>
      <c r="E44" s="222" t="str">
        <f>DEC2HEX((BIN2DEC(D44)*2^17),8)</f>
        <v>00000000</v>
      </c>
      <c r="F44" s="178" t="s">
        <v>226</v>
      </c>
      <c r="G44" s="416" t="s">
        <v>164</v>
      </c>
      <c r="H44" s="364" t="s">
        <v>515</v>
      </c>
      <c r="I44" s="345" t="str">
        <f>"0x"&amp;DEC2HEX(HEX2DEC(E44)+HEX2DEC(E45)+HEX2DEC(E46)+HEX2DEC(E47)+HEX2DEC(E48)+HEX2DEC(E49)+HEX2DEC(E50),8)</f>
        <v>0x00000030</v>
      </c>
      <c r="AI44" s="13"/>
    </row>
    <row r="45" spans="2:35" s="115" customFormat="1" ht="25.5" customHeight="1">
      <c r="B45" s="370"/>
      <c r="C45" s="223" t="s">
        <v>159</v>
      </c>
      <c r="D45" s="166">
        <v>0</v>
      </c>
      <c r="E45" s="223" t="str">
        <f>DEC2HEX((BIN2DEC(D45)*2^16),8)</f>
        <v>00000000</v>
      </c>
      <c r="F45" s="185" t="s">
        <v>225</v>
      </c>
      <c r="G45" s="418"/>
      <c r="H45" s="365"/>
      <c r="I45" s="346"/>
      <c r="AI45" s="13"/>
    </row>
    <row r="46" spans="2:35" s="115" customFormat="1" ht="56.25">
      <c r="B46" s="370"/>
      <c r="C46" s="223" t="s">
        <v>160</v>
      </c>
      <c r="D46" s="166">
        <v>0</v>
      </c>
      <c r="E46" s="223" t="str">
        <f>DEC2HEX((BIN2DEC(D46)*2^14),8)</f>
        <v>00000000</v>
      </c>
      <c r="F46" s="177" t="s">
        <v>224</v>
      </c>
      <c r="G46" s="418"/>
      <c r="H46" s="365"/>
      <c r="I46" s="346"/>
      <c r="AI46" s="13"/>
    </row>
    <row r="47" spans="2:35" s="115" customFormat="1" ht="40.5" customHeight="1">
      <c r="B47" s="370"/>
      <c r="C47" s="223" t="s">
        <v>161</v>
      </c>
      <c r="D47" s="167">
        <v>0</v>
      </c>
      <c r="E47" s="61" t="str">
        <f>DEC2HEX((BIN2DEC(D47)*2^13),8)</f>
        <v>00000000</v>
      </c>
      <c r="F47" s="180" t="s">
        <v>186</v>
      </c>
      <c r="G47" s="418"/>
      <c r="H47" s="365"/>
      <c r="I47" s="346"/>
      <c r="AI47" s="13"/>
    </row>
    <row r="48" spans="2:35" s="115" customFormat="1" ht="33.75">
      <c r="B48" s="370"/>
      <c r="C48" s="223" t="s">
        <v>162</v>
      </c>
      <c r="D48" s="167">
        <v>0</v>
      </c>
      <c r="E48" s="61" t="str">
        <f>DEC2HEX((BIN2DEC(D48)*2^12),8)</f>
        <v>00000000</v>
      </c>
      <c r="F48" s="180" t="s">
        <v>223</v>
      </c>
      <c r="G48" s="418"/>
      <c r="H48" s="447" t="s">
        <v>395</v>
      </c>
      <c r="I48" s="346"/>
      <c r="AI48" s="13"/>
    </row>
    <row r="49" spans="2:36" s="115" customFormat="1" ht="67.5">
      <c r="B49" s="370"/>
      <c r="C49" s="223" t="s">
        <v>163</v>
      </c>
      <c r="D49" s="168">
        <v>0</v>
      </c>
      <c r="E49" s="61" t="str">
        <f>DEC2HEX((BIN2DEC(D49)*2^8),8)</f>
        <v>00000000</v>
      </c>
      <c r="F49" s="180" t="s">
        <v>187</v>
      </c>
      <c r="G49" s="418"/>
      <c r="H49" s="365"/>
      <c r="I49" s="346"/>
      <c r="AI49" s="13"/>
    </row>
    <row r="50" spans="2:36" s="115" customFormat="1" ht="45.75" thickBot="1">
      <c r="B50" s="371"/>
      <c r="C50" s="224" t="s">
        <v>31</v>
      </c>
      <c r="D50" s="186">
        <v>110</v>
      </c>
      <c r="E50" s="225" t="str">
        <f>DEC2HEX((BIN2DEC(D50)*2^3),8)</f>
        <v>00000030</v>
      </c>
      <c r="F50" s="179" t="s">
        <v>38</v>
      </c>
      <c r="G50" s="417"/>
      <c r="H50" s="366"/>
      <c r="I50" s="347"/>
      <c r="AI50" s="13"/>
    </row>
    <row r="51" spans="2:36" s="115" customFormat="1" ht="45.75" thickBot="1">
      <c r="B51" s="169" t="s">
        <v>182</v>
      </c>
      <c r="C51" s="160" t="s">
        <v>31</v>
      </c>
      <c r="D51" s="187">
        <v>110</v>
      </c>
      <c r="E51" s="161" t="str">
        <f>DEC2HEX((BIN2DEC(D51)*2^3),8)</f>
        <v>00000030</v>
      </c>
      <c r="F51" s="181" t="s">
        <v>38</v>
      </c>
      <c r="G51" s="163" t="s">
        <v>166</v>
      </c>
      <c r="H51" s="277" t="s">
        <v>376</v>
      </c>
      <c r="I51" s="266" t="str">
        <f>"0x"&amp;(DEC2HEX(HEX2DEC(E51),8))</f>
        <v>0x00000030</v>
      </c>
      <c r="AI51" s="13"/>
    </row>
    <row r="52" spans="2:36" s="115" customFormat="1" ht="50.25" customHeight="1" thickBot="1">
      <c r="B52" s="170" t="s">
        <v>183</v>
      </c>
      <c r="C52" s="164" t="s">
        <v>31</v>
      </c>
      <c r="D52" s="188">
        <v>110</v>
      </c>
      <c r="E52" s="171" t="str">
        <f>DEC2HEX((BIN2DEC(D52)*2^3),8)</f>
        <v>00000030</v>
      </c>
      <c r="F52" s="182" t="s">
        <v>38</v>
      </c>
      <c r="G52" s="172" t="s">
        <v>167</v>
      </c>
      <c r="H52" s="276" t="s">
        <v>377</v>
      </c>
      <c r="I52" s="264" t="str">
        <f>"0x"&amp;(DEC2HEX(HEX2DEC(E52),8))</f>
        <v>0x00000030</v>
      </c>
      <c r="AI52" s="13"/>
    </row>
    <row r="53" spans="2:36" s="115" customFormat="1" ht="91.5" customHeight="1" thickBot="1">
      <c r="B53" s="175" t="s">
        <v>168</v>
      </c>
      <c r="C53" s="158" t="s">
        <v>156</v>
      </c>
      <c r="D53" s="189">
        <v>1</v>
      </c>
      <c r="E53" s="158" t="str">
        <f>DEC2HEX((BIN2DEC(D53)*2^17),8)</f>
        <v>00020000</v>
      </c>
      <c r="F53" s="176" t="s">
        <v>359</v>
      </c>
      <c r="G53" s="162" t="s">
        <v>170</v>
      </c>
      <c r="H53" s="275" t="s">
        <v>370</v>
      </c>
      <c r="I53" s="264" t="str">
        <f>"0x"&amp;(DEC2HEX(HEX2DEC(E53),8))</f>
        <v>0x00020000</v>
      </c>
      <c r="AH53" s="13"/>
    </row>
    <row r="54" spans="2:36" s="115" customFormat="1" ht="102" customHeight="1">
      <c r="B54" s="369" t="s">
        <v>379</v>
      </c>
      <c r="C54" s="212" t="s">
        <v>160</v>
      </c>
      <c r="D54" s="165">
        <v>0</v>
      </c>
      <c r="E54" s="212" t="str">
        <f>DEC2HEX((BIN2DEC(D54)*2^14),8)</f>
        <v>00000000</v>
      </c>
      <c r="F54" s="178" t="s">
        <v>185</v>
      </c>
      <c r="G54" s="342" t="s">
        <v>378</v>
      </c>
      <c r="H54" s="275" t="s">
        <v>401</v>
      </c>
      <c r="I54" s="345" t="str">
        <f>"0x"&amp;(DEC2HEX(HEX2DEC(E54)+HEX2DEC(E55)+HEX2DEC(E56)+HEX2DEC(E57),8))</f>
        <v>0x00000030</v>
      </c>
      <c r="AI54" s="13"/>
    </row>
    <row r="55" spans="2:36" s="115" customFormat="1" ht="33.75">
      <c r="B55" s="370"/>
      <c r="C55" s="213" t="s">
        <v>161</v>
      </c>
      <c r="D55" s="167">
        <v>0</v>
      </c>
      <c r="E55" s="61" t="str">
        <f>DEC2HEX((BIN2DEC(D55)*2^13),8)</f>
        <v>00000000</v>
      </c>
      <c r="F55" s="180" t="s">
        <v>244</v>
      </c>
      <c r="G55" s="343"/>
      <c r="H55" s="447" t="s">
        <v>400</v>
      </c>
      <c r="I55" s="346"/>
      <c r="AI55" s="13"/>
    </row>
    <row r="56" spans="2:36" s="115" customFormat="1" ht="33.75">
      <c r="B56" s="370"/>
      <c r="C56" s="213" t="s">
        <v>162</v>
      </c>
      <c r="D56" s="166">
        <v>0</v>
      </c>
      <c r="E56" s="213" t="str">
        <f>DEC2HEX((BIN2DEC(D56)*2^12),8)</f>
        <v>00000000</v>
      </c>
      <c r="F56" s="177" t="s">
        <v>223</v>
      </c>
      <c r="G56" s="343"/>
      <c r="H56" s="365"/>
      <c r="I56" s="346"/>
      <c r="AI56" s="13"/>
    </row>
    <row r="57" spans="2:36" s="115" customFormat="1" ht="45.75" thickBot="1">
      <c r="B57" s="371"/>
      <c r="C57" s="211" t="s">
        <v>31</v>
      </c>
      <c r="D57" s="187">
        <v>110</v>
      </c>
      <c r="E57" s="161" t="str">
        <f>DEC2HEX((BIN2DEC(D57)*2^3),8)</f>
        <v>00000030</v>
      </c>
      <c r="F57" s="181" t="s">
        <v>38</v>
      </c>
      <c r="G57" s="344"/>
      <c r="H57" s="366"/>
      <c r="I57" s="347"/>
      <c r="AI57" s="13"/>
    </row>
    <row r="58" spans="2:36" s="115" customFormat="1" ht="113.25" customHeight="1" thickBot="1">
      <c r="B58" s="175" t="s">
        <v>135</v>
      </c>
      <c r="C58" s="158" t="s">
        <v>175</v>
      </c>
      <c r="D58" s="158">
        <v>11</v>
      </c>
      <c r="E58" s="158" t="str">
        <f>DEC2HEX((BIN2DEC(D58)*2^18),8)</f>
        <v>000C0000</v>
      </c>
      <c r="F58" s="176" t="s">
        <v>179</v>
      </c>
      <c r="G58" s="162" t="s">
        <v>173</v>
      </c>
      <c r="H58" s="275" t="s">
        <v>380</v>
      </c>
      <c r="I58" s="264" t="str">
        <f t="shared" ref="I58" si="0">"0x"&amp;(DEC2HEX(HEX2DEC(E58),8))</f>
        <v>0x000C0000</v>
      </c>
      <c r="AH58" s="13"/>
    </row>
    <row r="59" spans="2:36" s="115" customFormat="1" ht="60.75" customHeight="1">
      <c r="B59" s="369" t="s">
        <v>402</v>
      </c>
      <c r="C59" s="448" t="s">
        <v>31</v>
      </c>
      <c r="D59" s="450">
        <v>110</v>
      </c>
      <c r="E59" s="455" t="str">
        <f>DEC2HEX((BIN2DEC(D59)*2^3),8)</f>
        <v>00000030</v>
      </c>
      <c r="F59" s="457" t="s">
        <v>38</v>
      </c>
      <c r="G59" s="416" t="s">
        <v>381</v>
      </c>
      <c r="H59" s="275" t="s">
        <v>404</v>
      </c>
      <c r="I59" s="427" t="str">
        <f>"0x"&amp;(DEC2HEX(HEX2DEC(E59),8))</f>
        <v>0x00000030</v>
      </c>
      <c r="AI59" s="13"/>
    </row>
    <row r="60" spans="2:36" s="115" customFormat="1" ht="60.75" customHeight="1" thickBot="1">
      <c r="B60" s="371"/>
      <c r="C60" s="449"/>
      <c r="D60" s="451"/>
      <c r="E60" s="456"/>
      <c r="F60" s="458"/>
      <c r="G60" s="417"/>
      <c r="H60" s="279" t="s">
        <v>403</v>
      </c>
      <c r="I60" s="428"/>
      <c r="AI60" s="13"/>
    </row>
    <row r="61" spans="2:36" s="115" customFormat="1" ht="22.5" customHeight="1">
      <c r="B61" s="372" t="s">
        <v>412</v>
      </c>
      <c r="C61" s="62" t="s">
        <v>156</v>
      </c>
      <c r="D61" s="184">
        <v>0</v>
      </c>
      <c r="E61" s="62" t="str">
        <f>DEC2HEX((BIN2DEC(D61)*2^17),8)</f>
        <v>00000000</v>
      </c>
      <c r="F61" s="185" t="s">
        <v>180</v>
      </c>
      <c r="G61" s="418" t="s">
        <v>382</v>
      </c>
      <c r="H61" s="278" t="s">
        <v>411</v>
      </c>
      <c r="I61" s="383" t="str">
        <f>"0x"&amp;(DEC2HEX(HEX2DEC(E62)+HEX2DEC(E61),8))</f>
        <v>0x00000030</v>
      </c>
      <c r="AG61" s="13"/>
    </row>
    <row r="62" spans="2:36" s="115" customFormat="1" ht="45.75" thickBot="1">
      <c r="B62" s="373"/>
      <c r="C62" s="134" t="s">
        <v>31</v>
      </c>
      <c r="D62" s="186">
        <v>110</v>
      </c>
      <c r="E62" s="126" t="str">
        <f>DEC2HEX((BIN2DEC(D62)*2^3),8)</f>
        <v>00000030</v>
      </c>
      <c r="F62" s="179" t="s">
        <v>38</v>
      </c>
      <c r="G62" s="417"/>
      <c r="H62" s="279" t="s">
        <v>410</v>
      </c>
      <c r="I62" s="347"/>
      <c r="AI62" s="13"/>
    </row>
    <row r="63" spans="2:36" s="115" customFormat="1" ht="13.5" thickBot="1">
      <c r="B63" s="116"/>
      <c r="C63" s="116"/>
      <c r="D63" s="116"/>
      <c r="E63" s="117"/>
      <c r="F63" s="116"/>
      <c r="G63" s="118"/>
      <c r="H63" s="116"/>
      <c r="I63" s="116"/>
      <c r="AI63" s="13"/>
    </row>
    <row r="64" spans="2:36" ht="26.25" thickBot="1">
      <c r="B64" s="2" t="s">
        <v>112</v>
      </c>
      <c r="C64" s="2" t="s">
        <v>6</v>
      </c>
      <c r="D64" s="2" t="s">
        <v>8</v>
      </c>
      <c r="E64" s="2" t="s">
        <v>7</v>
      </c>
      <c r="F64" s="7" t="s">
        <v>1</v>
      </c>
      <c r="G64" s="121" t="s">
        <v>3</v>
      </c>
      <c r="H64" s="8" t="s">
        <v>4</v>
      </c>
      <c r="I64" s="8" t="s">
        <v>5</v>
      </c>
      <c r="J64" s="34"/>
      <c r="AJ64" s="16"/>
    </row>
    <row r="65" spans="2:36" ht="3" customHeight="1" thickBot="1">
      <c r="B65" s="101"/>
      <c r="C65" s="101"/>
      <c r="D65" s="101"/>
      <c r="E65" s="101"/>
      <c r="F65" s="102"/>
      <c r="G65" s="103"/>
      <c r="H65" s="103"/>
      <c r="I65" s="103"/>
      <c r="J65" s="34"/>
      <c r="AJ65" s="16"/>
    </row>
    <row r="66" spans="2:36" s="115" customFormat="1" ht="76.5">
      <c r="B66" s="128" t="s">
        <v>115</v>
      </c>
      <c r="C66" s="132" t="s">
        <v>0</v>
      </c>
      <c r="D66" s="262">
        <v>1</v>
      </c>
      <c r="E66" s="124" t="str">
        <f>DEC2HEX(((D66)*2^31),8)</f>
        <v>80000000</v>
      </c>
      <c r="F66" s="125" t="s">
        <v>357</v>
      </c>
      <c r="G66" s="419" t="s">
        <v>113</v>
      </c>
      <c r="H66" s="379" t="s">
        <v>114</v>
      </c>
      <c r="I66" s="345" t="str">
        <f>"0x"&amp;DEC2HEX((HEX2DEC(E66)+HEX2DEC(E67)+HEX2DEC(E68)+HEX2DEC(E69)+HEX2DEC(E70)+HEX2DEC(E71)), 8)</f>
        <v>0x83180000</v>
      </c>
      <c r="J66" s="116"/>
      <c r="AJ66" s="13"/>
    </row>
    <row r="67" spans="2:36" s="115" customFormat="1" ht="76.5">
      <c r="B67" s="129" t="s">
        <v>116</v>
      </c>
      <c r="C67" s="133" t="s">
        <v>0</v>
      </c>
      <c r="D67" s="263">
        <f>IF(C21=2,1,0)</f>
        <v>0</v>
      </c>
      <c r="E67" s="60" t="str">
        <f>DEC2HEX(((D67)*2^30),8)</f>
        <v>00000000</v>
      </c>
      <c r="F67" s="122" t="s">
        <v>358</v>
      </c>
      <c r="G67" s="420"/>
      <c r="H67" s="380"/>
      <c r="I67" s="346"/>
      <c r="J67" s="116"/>
      <c r="AJ67" s="13"/>
    </row>
    <row r="68" spans="2:36" s="115" customFormat="1" ht="38.25">
      <c r="B68" s="129" t="s">
        <v>117</v>
      </c>
      <c r="C68" s="133" t="s">
        <v>0</v>
      </c>
      <c r="D68" s="193">
        <f>(C23-11)</f>
        <v>3</v>
      </c>
      <c r="E68" s="60" t="str">
        <f>DEC2HEX(((D68)*2^24),8)</f>
        <v>03000000</v>
      </c>
      <c r="F68" s="122" t="s">
        <v>121</v>
      </c>
      <c r="G68" s="420"/>
      <c r="H68" s="380"/>
      <c r="I68" s="346"/>
      <c r="J68" s="116"/>
      <c r="AJ68" s="13"/>
    </row>
    <row r="69" spans="2:36" s="115" customFormat="1" ht="38.25">
      <c r="B69" s="129" t="s">
        <v>118</v>
      </c>
      <c r="C69" s="133" t="s">
        <v>0</v>
      </c>
      <c r="D69" s="193">
        <f>(C24-9)</f>
        <v>1</v>
      </c>
      <c r="E69" s="60" t="str">
        <f>DEC2HEX(((D69)*2^20),8)</f>
        <v>00100000</v>
      </c>
      <c r="F69" s="122" t="s">
        <v>122</v>
      </c>
      <c r="G69" s="420"/>
      <c r="H69" s="380"/>
      <c r="I69" s="346"/>
      <c r="J69" s="116"/>
      <c r="AJ69" s="13"/>
    </row>
    <row r="70" spans="2:36" s="115" customFormat="1">
      <c r="B70" s="129" t="s">
        <v>119</v>
      </c>
      <c r="C70" s="133" t="s">
        <v>0</v>
      </c>
      <c r="D70" s="60">
        <v>1</v>
      </c>
      <c r="E70" s="60" t="str">
        <f>DEC2HEX(((D70)*2^19),8)</f>
        <v>00080000</v>
      </c>
      <c r="F70" s="122" t="s">
        <v>245</v>
      </c>
      <c r="G70" s="420"/>
      <c r="H70" s="380"/>
      <c r="I70" s="346"/>
      <c r="J70" s="116"/>
      <c r="AJ70" s="13"/>
    </row>
    <row r="71" spans="2:36" s="115" customFormat="1" ht="14.25" thickBot="1">
      <c r="B71" s="130" t="s">
        <v>120</v>
      </c>
      <c r="C71" s="135" t="s">
        <v>0</v>
      </c>
      <c r="D71" s="280">
        <v>0</v>
      </c>
      <c r="E71" s="126" t="str">
        <f>DEC2HEX(((D71)*2^16),8)</f>
        <v>00000000</v>
      </c>
      <c r="F71" s="127" t="s">
        <v>366</v>
      </c>
      <c r="G71" s="421"/>
      <c r="H71" s="381"/>
      <c r="I71" s="347"/>
      <c r="J71" s="116"/>
      <c r="AJ71" s="13"/>
    </row>
    <row r="72" spans="2:36" ht="13.5" thickBot="1">
      <c r="B72" s="10"/>
    </row>
    <row r="73" spans="2:36" ht="26.25" thickBot="1">
      <c r="B73" s="25" t="s">
        <v>104</v>
      </c>
      <c r="C73" s="25" t="s">
        <v>2</v>
      </c>
      <c r="D73" s="25" t="s">
        <v>56</v>
      </c>
      <c r="E73" s="25" t="s">
        <v>7</v>
      </c>
      <c r="F73" s="26" t="s">
        <v>1</v>
      </c>
      <c r="G73" s="98" t="s">
        <v>3</v>
      </c>
      <c r="H73" s="27" t="s">
        <v>30</v>
      </c>
      <c r="I73" s="27" t="s">
        <v>5</v>
      </c>
      <c r="J73" s="99"/>
    </row>
    <row r="74" spans="2:36" ht="3" customHeight="1" thickBot="1">
      <c r="B74" s="63"/>
      <c r="C74" s="65"/>
      <c r="D74" s="79"/>
      <c r="E74" s="64"/>
      <c r="F74" s="69"/>
      <c r="G74" s="58"/>
      <c r="H74" s="58"/>
      <c r="I74" s="67"/>
      <c r="J74" s="34"/>
    </row>
    <row r="75" spans="2:36" ht="25.5">
      <c r="B75" s="70" t="s">
        <v>64</v>
      </c>
      <c r="C75" s="241">
        <v>7.5</v>
      </c>
      <c r="D75" s="326">
        <f>ROUNDUP((C75/C28),0)</f>
        <v>3</v>
      </c>
      <c r="E75" s="244" t="str">
        <f>DEC2HEX(((D75-1)*2^16),8)</f>
        <v>00020000</v>
      </c>
      <c r="F75" s="327" t="s">
        <v>367</v>
      </c>
      <c r="G75" s="348" t="s">
        <v>67</v>
      </c>
      <c r="H75" s="351" t="s">
        <v>68</v>
      </c>
      <c r="I75" s="354" t="str">
        <f>"0x"&amp;DEC2HEX((HEX2DEC(E75)+HEX2DEC(E76)+HEX2DEC(E77)+HEX2DEC(E78)), 8)</f>
        <v>0x0002002D</v>
      </c>
      <c r="J75" s="387" t="s">
        <v>227</v>
      </c>
    </row>
    <row r="76" spans="2:36" ht="89.25">
      <c r="B76" s="72" t="s">
        <v>690</v>
      </c>
      <c r="C76" s="291" t="s">
        <v>0</v>
      </c>
      <c r="D76" s="219">
        <v>0</v>
      </c>
      <c r="E76" s="245" t="str">
        <f>DEC2HEX((D76*2^7),8)</f>
        <v>00000000</v>
      </c>
      <c r="F76" s="33" t="s">
        <v>691</v>
      </c>
      <c r="G76" s="349"/>
      <c r="H76" s="352"/>
      <c r="I76" s="355"/>
      <c r="J76" s="387"/>
    </row>
    <row r="77" spans="2:36" ht="38.25">
      <c r="B77" s="72" t="s">
        <v>65</v>
      </c>
      <c r="C77" s="242">
        <v>12.5</v>
      </c>
      <c r="D77" s="31">
        <f>ROUNDUP((C77/C28),0)</f>
        <v>5</v>
      </c>
      <c r="E77" s="245" t="str">
        <f>DEC2HEX((D77*2^3),8)</f>
        <v>00000028</v>
      </c>
      <c r="F77" s="68" t="s">
        <v>368</v>
      </c>
      <c r="G77" s="349"/>
      <c r="H77" s="352"/>
      <c r="I77" s="356"/>
      <c r="J77" s="387"/>
    </row>
    <row r="78" spans="2:36" ht="39" thickBot="1">
      <c r="B78" s="80" t="s">
        <v>66</v>
      </c>
      <c r="C78" s="243">
        <v>12.5</v>
      </c>
      <c r="D78" s="248">
        <f>ROUNDUP((C78/C28),0)</f>
        <v>5</v>
      </c>
      <c r="E78" s="246" t="str">
        <f>DEC2HEX((D78*2^0),8)</f>
        <v>00000005</v>
      </c>
      <c r="F78" s="69" t="s">
        <v>369</v>
      </c>
      <c r="G78" s="349"/>
      <c r="H78" s="352"/>
      <c r="I78" s="357"/>
      <c r="J78" s="387"/>
    </row>
    <row r="79" spans="2:36" ht="63.75">
      <c r="B79" s="83" t="s">
        <v>228</v>
      </c>
      <c r="C79" s="208" t="s">
        <v>0</v>
      </c>
      <c r="D79" s="240">
        <v>5</v>
      </c>
      <c r="E79" s="84" t="str">
        <f>DEC2HEX((D79*2^12),8)</f>
        <v>00005000</v>
      </c>
      <c r="F79" s="71" t="s">
        <v>362</v>
      </c>
      <c r="G79" s="349"/>
      <c r="H79" s="352"/>
      <c r="I79" s="384" t="str">
        <f>"0x"&amp;DEC2HEX((HEX2DEC(E75)+HEX2DEC(E76)+HEX2DEC(E77)+HEX2DEC(E78)+HEX2DEC(E79)+HEX2DEC(E80)+HEX2DEC(E81)), 8)</f>
        <v>0x0002556D</v>
      </c>
      <c r="J79" s="387" t="s">
        <v>229</v>
      </c>
    </row>
    <row r="80" spans="2:36" ht="25.5">
      <c r="B80" s="72" t="s">
        <v>230</v>
      </c>
      <c r="C80" s="209" t="s">
        <v>0</v>
      </c>
      <c r="D80" s="219">
        <v>5</v>
      </c>
      <c r="E80" s="322" t="str">
        <f>DEC2HEX((D80*2^8),8)</f>
        <v>00000500</v>
      </c>
      <c r="F80" s="33" t="s">
        <v>231</v>
      </c>
      <c r="G80" s="349"/>
      <c r="H80" s="352"/>
      <c r="I80" s="385"/>
      <c r="J80" s="387"/>
    </row>
    <row r="81" spans="1:36" ht="64.5" thickBot="1">
      <c r="B81" s="74" t="s">
        <v>232</v>
      </c>
      <c r="C81" s="220" t="s">
        <v>0</v>
      </c>
      <c r="D81" s="221">
        <v>1</v>
      </c>
      <c r="E81" s="323" t="str">
        <f>DEC2HEX((D81*2^6),8)</f>
        <v>00000040</v>
      </c>
      <c r="F81" s="78" t="s">
        <v>233</v>
      </c>
      <c r="G81" s="350"/>
      <c r="H81" s="353"/>
      <c r="I81" s="386"/>
      <c r="J81" s="387"/>
    </row>
    <row r="82" spans="1:36" ht="63.75">
      <c r="B82" s="83" t="s">
        <v>69</v>
      </c>
      <c r="C82" s="249">
        <v>8.5</v>
      </c>
      <c r="D82" s="247">
        <f>ROUNDUP((C82/C28),0)</f>
        <v>4</v>
      </c>
      <c r="E82" s="84" t="str">
        <f>DEC2HEX(((D82-1)*2^27),8)</f>
        <v>18000000</v>
      </c>
      <c r="F82" s="85" t="s">
        <v>525</v>
      </c>
      <c r="G82" s="348" t="s">
        <v>75</v>
      </c>
      <c r="H82" s="432" t="s">
        <v>76</v>
      </c>
      <c r="I82" s="438" t="str">
        <f>"0x"&amp;DEC2HEX((HEX2DEC(E82)+HEX2DEC(E83)+HEX2DEC(E84)+HEX2DEC(E85)+HEX2DEC(E86)+HEX2DEC(E87)), 8)</f>
        <v>0x1B333030</v>
      </c>
      <c r="J82" s="34" t="s">
        <v>363</v>
      </c>
    </row>
    <row r="83" spans="1:36" ht="63.75">
      <c r="B83" s="72" t="s">
        <v>70</v>
      </c>
      <c r="C83" s="81">
        <v>8.5</v>
      </c>
      <c r="D83" s="31">
        <f>ROUNDUP((C83/C28),0)</f>
        <v>4</v>
      </c>
      <c r="E83" s="226" t="str">
        <f>DEC2HEX(((D83-1)*2^24),8)</f>
        <v>03000000</v>
      </c>
      <c r="F83" s="86" t="s">
        <v>526</v>
      </c>
      <c r="G83" s="349"/>
      <c r="H83" s="433"/>
      <c r="I83" s="439"/>
      <c r="J83" s="34" t="s">
        <v>363</v>
      </c>
    </row>
    <row r="84" spans="1:36" ht="38.25">
      <c r="B84" s="72" t="s">
        <v>71</v>
      </c>
      <c r="C84" s="250" t="s">
        <v>0</v>
      </c>
      <c r="D84" s="251">
        <f>(D101-1)</f>
        <v>4</v>
      </c>
      <c r="E84" s="226" t="str">
        <f>DEC2HEX(((D84-1)*2^20),8)</f>
        <v>00300000</v>
      </c>
      <c r="F84" s="86" t="s">
        <v>321</v>
      </c>
      <c r="G84" s="349"/>
      <c r="H84" s="433"/>
      <c r="I84" s="439"/>
      <c r="J84" s="34"/>
    </row>
    <row r="85" spans="1:36" ht="38.25">
      <c r="B85" s="72" t="s">
        <v>72</v>
      </c>
      <c r="C85" s="250" t="s">
        <v>0</v>
      </c>
      <c r="D85" s="251">
        <f>(D101-1)</f>
        <v>4</v>
      </c>
      <c r="E85" s="226" t="str">
        <f>DEC2HEX(((D85-1)*2^16),8)</f>
        <v>00030000</v>
      </c>
      <c r="F85" s="86" t="s">
        <v>322</v>
      </c>
      <c r="G85" s="349"/>
      <c r="H85" s="433"/>
      <c r="I85" s="439"/>
      <c r="J85" s="34"/>
    </row>
    <row r="86" spans="1:36" ht="76.5">
      <c r="B86" s="72" t="s">
        <v>73</v>
      </c>
      <c r="C86" s="250" t="s">
        <v>0</v>
      </c>
      <c r="D86" s="251">
        <f>(D101-2)</f>
        <v>3</v>
      </c>
      <c r="E86" s="226" t="str">
        <f>DEC2HEX(((D86)*2^12),8)</f>
        <v>00003000</v>
      </c>
      <c r="F86" s="86" t="s">
        <v>323</v>
      </c>
      <c r="G86" s="349"/>
      <c r="H86" s="433"/>
      <c r="I86" s="439"/>
      <c r="J86" s="34"/>
    </row>
    <row r="87" spans="1:36" ht="39" thickBot="1">
      <c r="B87" s="74" t="s">
        <v>74</v>
      </c>
      <c r="C87" s="252" t="s">
        <v>0</v>
      </c>
      <c r="D87" s="251">
        <f>(D101-2)</f>
        <v>3</v>
      </c>
      <c r="E87" s="227" t="str">
        <f>DEC2HEX((D87*2^4),8)</f>
        <v>00000030</v>
      </c>
      <c r="F87" s="87" t="s">
        <v>324</v>
      </c>
      <c r="G87" s="350"/>
      <c r="H87" s="434"/>
      <c r="I87" s="440"/>
      <c r="J87" s="34"/>
      <c r="AJ87" s="9"/>
    </row>
    <row r="88" spans="1:36" s="9" customFormat="1" ht="25.5">
      <c r="A88" s="22"/>
      <c r="B88" s="83" t="s">
        <v>82</v>
      </c>
      <c r="C88" s="136">
        <v>260</v>
      </c>
      <c r="D88" s="290">
        <f>ROUNDUP((C88/C28),0)</f>
        <v>104</v>
      </c>
      <c r="E88" s="84" t="str">
        <f>DEC2HEX(((D88-1)*2^24),8)</f>
        <v>67000000</v>
      </c>
      <c r="F88" s="71" t="s">
        <v>325</v>
      </c>
      <c r="G88" s="397" t="s">
        <v>77</v>
      </c>
      <c r="H88" s="432" t="s">
        <v>78</v>
      </c>
      <c r="I88" s="435" t="str">
        <f>"0x"&amp;DEC2HEX((HEX2DEC(E88)+HEX2DEC(E89)+HEX2DEC(E90)+HEX2DEC(E91)+HEX2DEC(E92)+HEX2DEC(E93)), 8)</f>
        <v>0x676B52F3</v>
      </c>
      <c r="J88" s="51" t="s">
        <v>364</v>
      </c>
      <c r="K88" s="22"/>
      <c r="L88" s="22"/>
      <c r="M88" s="22"/>
      <c r="N88" s="22"/>
      <c r="O88" s="22"/>
      <c r="P88" s="22"/>
      <c r="Q88" s="22"/>
      <c r="R88" s="22"/>
      <c r="S88" s="22"/>
      <c r="T88" s="22"/>
      <c r="U88" s="22"/>
      <c r="V88" s="22"/>
      <c r="AJ88"/>
    </row>
    <row r="89" spans="1:36" ht="25.5">
      <c r="B89" s="72" t="s">
        <v>326</v>
      </c>
      <c r="C89" s="289">
        <f>(C88+10)</f>
        <v>270</v>
      </c>
      <c r="D89" s="31">
        <f>ROUNDUP((C89/C28),0)</f>
        <v>108</v>
      </c>
      <c r="E89" s="226" t="str">
        <f>DEC2HEX(((D89-1)*2^16),8)</f>
        <v>006B0000</v>
      </c>
      <c r="F89" s="33" t="s">
        <v>327</v>
      </c>
      <c r="G89" s="398"/>
      <c r="H89" s="433"/>
      <c r="I89" s="436"/>
      <c r="J89" s="34"/>
    </row>
    <row r="90" spans="1:36" ht="25.5">
      <c r="B90" s="72" t="s">
        <v>79</v>
      </c>
      <c r="C90" s="82">
        <v>7.5</v>
      </c>
      <c r="D90" s="290">
        <f>ROUNDUP((C90/C28),0)</f>
        <v>3</v>
      </c>
      <c r="E90" s="226" t="str">
        <f>DEC2HEX(((D90-1)*2^13),8)</f>
        <v>00004000</v>
      </c>
      <c r="F90" s="33" t="s">
        <v>328</v>
      </c>
      <c r="G90" s="398"/>
      <c r="H90" s="433"/>
      <c r="I90" s="436"/>
      <c r="J90" s="34"/>
    </row>
    <row r="91" spans="1:36" ht="38.25">
      <c r="B91" s="72" t="s">
        <v>80</v>
      </c>
      <c r="C91" s="82">
        <v>24</v>
      </c>
      <c r="D91" s="290">
        <f>ROUNDUP((C91/C28),0)</f>
        <v>10</v>
      </c>
      <c r="E91" s="226" t="str">
        <f>DEC2HEX(((D91-1)*2^9),8)</f>
        <v>00001200</v>
      </c>
      <c r="F91" s="33" t="s">
        <v>329</v>
      </c>
      <c r="G91" s="398"/>
      <c r="H91" s="433"/>
      <c r="I91" s="436"/>
      <c r="J91" s="34"/>
    </row>
    <row r="92" spans="1:36" ht="25.5">
      <c r="B92" s="72" t="s">
        <v>126</v>
      </c>
      <c r="C92" s="82">
        <v>40</v>
      </c>
      <c r="D92" s="290">
        <f>ROUNDUP((C92/C28),0)</f>
        <v>16</v>
      </c>
      <c r="E92" s="226" t="str">
        <f>DEC2HEX(((D92-1)*2^4),8)</f>
        <v>000000F0</v>
      </c>
      <c r="F92" s="33" t="s">
        <v>330</v>
      </c>
      <c r="G92" s="398"/>
      <c r="H92" s="433"/>
      <c r="I92" s="436"/>
      <c r="J92" s="34"/>
    </row>
    <row r="93" spans="1:36" ht="26.25" thickBot="1">
      <c r="B93" s="74" t="s">
        <v>81</v>
      </c>
      <c r="C93" s="252" t="s">
        <v>0</v>
      </c>
      <c r="D93" s="76">
        <v>6</v>
      </c>
      <c r="E93" s="227" t="str">
        <f>DEC2HEX(((D93-3)*2^0),8)</f>
        <v>00000003</v>
      </c>
      <c r="F93" s="78" t="s">
        <v>331</v>
      </c>
      <c r="G93" s="399"/>
      <c r="H93" s="434"/>
      <c r="I93" s="437"/>
      <c r="J93" s="34"/>
    </row>
    <row r="94" spans="1:36" ht="25.5">
      <c r="B94" s="83" t="s">
        <v>85</v>
      </c>
      <c r="C94" s="230">
        <v>13.75</v>
      </c>
      <c r="D94" s="290">
        <f>ROUNDUP((C94/C28),0)</f>
        <v>6</v>
      </c>
      <c r="E94" s="84" t="str">
        <f>DEC2HEX(((D94-1)*2^29),8)</f>
        <v>A0000000</v>
      </c>
      <c r="F94" s="71" t="s">
        <v>332</v>
      </c>
      <c r="G94" s="400" t="s">
        <v>83</v>
      </c>
      <c r="H94" s="452" t="s">
        <v>84</v>
      </c>
      <c r="I94" s="444" t="str">
        <f>"0x"&amp;DEC2HEX((HEX2DEC(E94)+HEX2DEC(E95)+HEX2DEC(E96)+HEX2DEC(E97)+HEX2DEC(E98)+HEX2DEC(E99)+HEX2DEC(E100)+HEX2DEC(E101)), 8)</f>
        <v>0xB66D0B63</v>
      </c>
      <c r="J94" s="34"/>
    </row>
    <row r="95" spans="1:36" ht="25.5">
      <c r="B95" s="73" t="s">
        <v>86</v>
      </c>
      <c r="C95" s="93">
        <v>13.75</v>
      </c>
      <c r="D95" s="290">
        <f>ROUNDUP((C95/C28),0)</f>
        <v>6</v>
      </c>
      <c r="E95" s="29" t="str">
        <f>DEC2HEX(((D95-1)*2^26),8)</f>
        <v>14000000</v>
      </c>
      <c r="F95" s="30" t="s">
        <v>333</v>
      </c>
      <c r="G95" s="401"/>
      <c r="H95" s="453"/>
      <c r="I95" s="445"/>
      <c r="J95" s="34"/>
    </row>
    <row r="96" spans="1:36" ht="25.5">
      <c r="B96" s="73" t="s">
        <v>87</v>
      </c>
      <c r="C96" s="257">
        <v>48.75</v>
      </c>
      <c r="D96" s="290">
        <f>ROUNDUP((C96/C28),0)</f>
        <v>20</v>
      </c>
      <c r="E96" s="29" t="str">
        <f>DEC2HEX(((D96-1)*2^21),8)</f>
        <v>02600000</v>
      </c>
      <c r="F96" s="30" t="s">
        <v>334</v>
      </c>
      <c r="G96" s="401"/>
      <c r="H96" s="453"/>
      <c r="I96" s="445"/>
      <c r="J96" s="34"/>
    </row>
    <row r="97" spans="1:36" ht="25.5">
      <c r="B97" s="73" t="s">
        <v>88</v>
      </c>
      <c r="C97" s="93">
        <v>35</v>
      </c>
      <c r="D97" s="290">
        <f>ROUNDUP((C97/C28),0)</f>
        <v>14</v>
      </c>
      <c r="E97" s="29" t="str">
        <f>DEC2HEX(((D97-1)*2^16),8)</f>
        <v>000D0000</v>
      </c>
      <c r="F97" s="30" t="s">
        <v>335</v>
      </c>
      <c r="G97" s="401"/>
      <c r="H97" s="453"/>
      <c r="I97" s="445"/>
      <c r="J97" s="34"/>
    </row>
    <row r="98" spans="1:36" ht="25.5">
      <c r="B98" s="89" t="s">
        <v>89</v>
      </c>
      <c r="C98" s="88" t="s">
        <v>0</v>
      </c>
      <c r="D98" s="253">
        <v>0</v>
      </c>
      <c r="E98" s="35" t="str">
        <f>DEC2HEX(((D98)*2^15),8)</f>
        <v>00000000</v>
      </c>
      <c r="F98" s="36" t="s">
        <v>528</v>
      </c>
      <c r="G98" s="401"/>
      <c r="H98" s="453"/>
      <c r="I98" s="445"/>
      <c r="J98" s="34"/>
    </row>
    <row r="99" spans="1:36" ht="25.5">
      <c r="B99" s="90" t="s">
        <v>90</v>
      </c>
      <c r="C99" s="93">
        <v>15</v>
      </c>
      <c r="D99" s="290">
        <f>ROUNDUP((C99/C28),0)</f>
        <v>6</v>
      </c>
      <c r="E99" s="96" t="str">
        <f>DEC2HEX(((D99-1)*2^9),8)</f>
        <v>00000A00</v>
      </c>
      <c r="F99" s="66" t="s">
        <v>336</v>
      </c>
      <c r="G99" s="401"/>
      <c r="H99" s="453"/>
      <c r="I99" s="445"/>
      <c r="J99" s="34"/>
    </row>
    <row r="100" spans="1:36" ht="38.25">
      <c r="B100" s="90" t="s">
        <v>91</v>
      </c>
      <c r="C100" s="91" t="s">
        <v>0</v>
      </c>
      <c r="D100" s="94">
        <v>12</v>
      </c>
      <c r="E100" s="96" t="str">
        <f>DEC2HEX(((D100-1)*2^5),8)</f>
        <v>00000160</v>
      </c>
      <c r="F100" s="66" t="s">
        <v>337</v>
      </c>
      <c r="G100" s="401"/>
      <c r="H100" s="453"/>
      <c r="I100" s="445"/>
      <c r="J100" s="34"/>
    </row>
    <row r="101" spans="1:36" ht="26.25" thickBot="1">
      <c r="B101" s="74" t="s">
        <v>92</v>
      </c>
      <c r="C101" s="92" t="s">
        <v>0</v>
      </c>
      <c r="D101" s="95">
        <v>5</v>
      </c>
      <c r="E101" s="227" t="str">
        <f>DEC2HEX(((D101-2)*2^0),8)</f>
        <v>00000003</v>
      </c>
      <c r="F101" s="78" t="s">
        <v>338</v>
      </c>
      <c r="G101" s="402"/>
      <c r="H101" s="454"/>
      <c r="I101" s="446"/>
      <c r="J101" s="34"/>
    </row>
    <row r="102" spans="1:36">
      <c r="B102" s="83" t="s">
        <v>95</v>
      </c>
      <c r="C102" s="97" t="s">
        <v>0</v>
      </c>
      <c r="D102" s="218">
        <v>512</v>
      </c>
      <c r="E102" s="84" t="str">
        <f>DEC2HEX(((D102-1)*2^16),8)</f>
        <v>01FF0000</v>
      </c>
      <c r="F102" s="71" t="s">
        <v>339</v>
      </c>
      <c r="G102" s="348" t="s">
        <v>93</v>
      </c>
      <c r="H102" s="469" t="s">
        <v>94</v>
      </c>
      <c r="I102" s="441" t="str">
        <f>"0x"&amp;DEC2HEX((HEX2DEC(E102)+HEX2DEC(E103)+HEX2DEC(E104)+HEX2DEC(E105)), 8)</f>
        <v>0x01FF00DB</v>
      </c>
      <c r="J102" s="34"/>
    </row>
    <row r="103" spans="1:36" ht="63.75">
      <c r="B103" s="72" t="s">
        <v>96</v>
      </c>
      <c r="C103" s="291" t="s">
        <v>0</v>
      </c>
      <c r="D103" s="314">
        <v>4</v>
      </c>
      <c r="E103" s="32" t="str">
        <f>DEC2HEX(((D103-1)*2^6),8)</f>
        <v>000000C0</v>
      </c>
      <c r="F103" s="33" t="s">
        <v>354</v>
      </c>
      <c r="G103" s="349"/>
      <c r="H103" s="470"/>
      <c r="I103" s="442"/>
      <c r="J103" s="34"/>
    </row>
    <row r="104" spans="1:36" ht="63.75">
      <c r="B104" s="72" t="s">
        <v>97</v>
      </c>
      <c r="C104" s="291" t="s">
        <v>0</v>
      </c>
      <c r="D104" s="315">
        <v>4</v>
      </c>
      <c r="E104" s="32" t="str">
        <f>DEC2HEX(((D104-1)*2^3),8)</f>
        <v>00000018</v>
      </c>
      <c r="F104" s="33" t="s">
        <v>355</v>
      </c>
      <c r="G104" s="349"/>
      <c r="H104" s="470"/>
      <c r="I104" s="442"/>
      <c r="J104" s="34"/>
    </row>
    <row r="105" spans="1:36" ht="64.5" thickBot="1">
      <c r="B105" s="74" t="s">
        <v>98</v>
      </c>
      <c r="C105" s="252" t="s">
        <v>0</v>
      </c>
      <c r="D105" s="316">
        <v>4</v>
      </c>
      <c r="E105" s="77" t="str">
        <f>DEC2HEX(((D105-1)*2^0),8)</f>
        <v>00000003</v>
      </c>
      <c r="F105" s="78" t="s">
        <v>356</v>
      </c>
      <c r="G105" s="405"/>
      <c r="H105" s="471"/>
      <c r="I105" s="443"/>
      <c r="J105" s="34"/>
    </row>
    <row r="106" spans="1:36" s="9" customFormat="1" ht="89.25">
      <c r="A106" s="22"/>
      <c r="B106" s="83" t="s">
        <v>206</v>
      </c>
      <c r="C106" s="208" t="s">
        <v>0</v>
      </c>
      <c r="D106" s="229">
        <v>1</v>
      </c>
      <c r="E106" s="84" t="str">
        <f>DEC2HEX(((D106-1)*2^16),8)</f>
        <v>00000000</v>
      </c>
      <c r="F106" s="71" t="s">
        <v>248</v>
      </c>
      <c r="G106" s="397" t="s">
        <v>205</v>
      </c>
      <c r="H106" s="432" t="s">
        <v>217</v>
      </c>
      <c r="I106" s="435" t="str">
        <f>"0x"&amp;DEC2HEX((HEX2DEC(E106)+HEX2DEC(E107)+HEX2DEC(E108)+HEX2DEC(E109)+HEX2DEC(E110)+HEX2DEC(E111)), 8)</f>
        <v>0x000026D2</v>
      </c>
      <c r="J106" s="51"/>
      <c r="K106" s="22"/>
      <c r="L106" s="22"/>
      <c r="M106" s="22"/>
      <c r="N106" s="22"/>
      <c r="O106" s="22"/>
      <c r="P106" s="22"/>
      <c r="Q106" s="22"/>
      <c r="R106" s="22"/>
      <c r="S106" s="22"/>
      <c r="T106" s="22"/>
      <c r="U106" s="22"/>
      <c r="V106" s="22"/>
      <c r="AJ106"/>
    </row>
    <row r="107" spans="1:36" ht="25.5">
      <c r="B107" s="72" t="s">
        <v>207</v>
      </c>
      <c r="C107" s="206" t="s">
        <v>0</v>
      </c>
      <c r="D107" s="31">
        <v>2</v>
      </c>
      <c r="E107" s="199" t="str">
        <f>DEC2HEX(((D107)*2^12),8)</f>
        <v>00002000</v>
      </c>
      <c r="F107" s="33" t="s">
        <v>212</v>
      </c>
      <c r="G107" s="398"/>
      <c r="H107" s="433"/>
      <c r="I107" s="436"/>
      <c r="J107" s="34"/>
    </row>
    <row r="108" spans="1:36" ht="25.5">
      <c r="B108" s="72" t="s">
        <v>208</v>
      </c>
      <c r="C108" s="206" t="s">
        <v>0</v>
      </c>
      <c r="D108" s="31">
        <v>3</v>
      </c>
      <c r="E108" s="199" t="str">
        <f>DEC2HEX(((D108)*2^9),8)</f>
        <v>00000600</v>
      </c>
      <c r="F108" s="33" t="s">
        <v>213</v>
      </c>
      <c r="G108" s="398"/>
      <c r="H108" s="433"/>
      <c r="I108" s="436"/>
      <c r="J108" s="34"/>
    </row>
    <row r="109" spans="1:36" ht="25.5">
      <c r="B109" s="72" t="s">
        <v>209</v>
      </c>
      <c r="C109" s="206" t="s">
        <v>0</v>
      </c>
      <c r="D109" s="31">
        <v>3</v>
      </c>
      <c r="E109" s="199" t="str">
        <f>DEC2HEX(((D109)*2^6),8)</f>
        <v>000000C0</v>
      </c>
      <c r="F109" s="33" t="s">
        <v>214</v>
      </c>
      <c r="G109" s="398"/>
      <c r="H109" s="433"/>
      <c r="I109" s="436"/>
      <c r="J109" s="34"/>
    </row>
    <row r="110" spans="1:36" ht="25.5">
      <c r="B110" s="72" t="s">
        <v>210</v>
      </c>
      <c r="C110" s="206" t="s">
        <v>0</v>
      </c>
      <c r="D110" s="28">
        <v>2</v>
      </c>
      <c r="E110" s="199" t="str">
        <f>DEC2HEX(((D110)*2^3),8)</f>
        <v>00000010</v>
      </c>
      <c r="F110" s="33" t="s">
        <v>215</v>
      </c>
      <c r="G110" s="398"/>
      <c r="H110" s="433"/>
      <c r="I110" s="436"/>
      <c r="J110" s="34"/>
    </row>
    <row r="111" spans="1:36" ht="26.25" thickBot="1">
      <c r="B111" s="74" t="s">
        <v>211</v>
      </c>
      <c r="C111" s="207" t="s">
        <v>0</v>
      </c>
      <c r="D111" s="76">
        <v>2</v>
      </c>
      <c r="E111" s="200" t="str">
        <f>DEC2HEX(((D111)*2^0),8)</f>
        <v>00000002</v>
      </c>
      <c r="F111" s="78" t="s">
        <v>216</v>
      </c>
      <c r="G111" s="399"/>
      <c r="H111" s="434"/>
      <c r="I111" s="437"/>
      <c r="J111" s="34"/>
    </row>
    <row r="112" spans="1:36" ht="14.25">
      <c r="B112" s="83" t="s">
        <v>101</v>
      </c>
      <c r="C112" s="289">
        <f>(C88+10)</f>
        <v>270</v>
      </c>
      <c r="D112" s="231">
        <f>ROUNDUP((C112/C28),0)</f>
        <v>108</v>
      </c>
      <c r="E112" s="84" t="str">
        <f>DEC2HEX(((D112-1)*2^16),8)</f>
        <v>006B0000</v>
      </c>
      <c r="F112" s="71" t="s">
        <v>249</v>
      </c>
      <c r="G112" s="348" t="s">
        <v>100</v>
      </c>
      <c r="H112" s="432" t="s">
        <v>99</v>
      </c>
      <c r="I112" s="435" t="str">
        <f>"0x"&amp;DEC2HEX((HEX2DEC(E112)+HEX2DEC(E113)+HEX2DEC(E114)), 8)</f>
        <v>0x006B1023</v>
      </c>
      <c r="J112" s="34"/>
    </row>
    <row r="113" spans="2:36">
      <c r="B113" s="72" t="s">
        <v>102</v>
      </c>
      <c r="C113" s="37" t="s">
        <v>0</v>
      </c>
      <c r="D113" s="54">
        <v>14</v>
      </c>
      <c r="E113" s="226" t="str">
        <f>DEC2HEX(((D113+2)*2^8),8)</f>
        <v>00001000</v>
      </c>
      <c r="F113" s="33" t="s">
        <v>102</v>
      </c>
      <c r="G113" s="349"/>
      <c r="H113" s="433"/>
      <c r="I113" s="436"/>
      <c r="J113" s="34"/>
    </row>
    <row r="114" spans="2:36" ht="13.5" thickBot="1">
      <c r="B114" s="74" t="s">
        <v>103</v>
      </c>
      <c r="C114" s="75" t="s">
        <v>0</v>
      </c>
      <c r="D114" s="232">
        <v>33</v>
      </c>
      <c r="E114" s="227" t="str">
        <f>DEC2HEX(((D114+2)*2^0),8)</f>
        <v>00000023</v>
      </c>
      <c r="F114" s="78" t="s">
        <v>103</v>
      </c>
      <c r="G114" s="350"/>
      <c r="H114" s="434"/>
      <c r="I114" s="437"/>
      <c r="J114" s="34"/>
    </row>
    <row r="115" spans="2:36">
      <c r="B115" s="201"/>
      <c r="C115" s="202"/>
      <c r="D115" s="205"/>
      <c r="E115" s="203"/>
      <c r="F115" s="204"/>
      <c r="G115" s="100"/>
      <c r="H115" s="100"/>
      <c r="I115" s="100"/>
      <c r="J115" s="34"/>
    </row>
    <row r="116" spans="2:36" ht="13.5" thickBot="1">
      <c r="B116" s="24"/>
      <c r="C116" s="23"/>
      <c r="D116" s="23"/>
      <c r="E116" s="23"/>
      <c r="F116" s="52"/>
      <c r="G116" s="112"/>
      <c r="H116" s="100"/>
      <c r="I116" s="100"/>
      <c r="J116" s="34"/>
      <c r="AJ116" s="16"/>
    </row>
    <row r="117" spans="2:36" ht="26.25" thickBot="1">
      <c r="B117" s="2" t="s">
        <v>112</v>
      </c>
      <c r="C117" s="2" t="s">
        <v>6</v>
      </c>
      <c r="D117" s="2" t="s">
        <v>8</v>
      </c>
      <c r="E117" s="2" t="s">
        <v>7</v>
      </c>
      <c r="F117" s="7" t="s">
        <v>1</v>
      </c>
      <c r="G117" s="121" t="s">
        <v>3</v>
      </c>
      <c r="H117" s="8" t="s">
        <v>4</v>
      </c>
      <c r="I117" s="8" t="s">
        <v>5</v>
      </c>
      <c r="J117" s="34"/>
      <c r="AJ117" s="16"/>
    </row>
    <row r="118" spans="2:36" ht="3" customHeight="1" thickBot="1">
      <c r="B118" s="101"/>
      <c r="C118" s="101"/>
      <c r="D118" s="101"/>
      <c r="E118" s="101"/>
      <c r="F118" s="102"/>
      <c r="G118" s="103"/>
      <c r="H118" s="103"/>
      <c r="I118" s="103"/>
      <c r="J118" s="34"/>
      <c r="AJ118" s="16"/>
    </row>
    <row r="119" spans="2:36" ht="63.75">
      <c r="B119" s="137" t="s">
        <v>498</v>
      </c>
      <c r="C119" s="299" t="s">
        <v>0</v>
      </c>
      <c r="D119" s="138">
        <v>1</v>
      </c>
      <c r="E119" s="138" t="str">
        <f>DEC2HEX(((D119)*2^21),8)</f>
        <v>00200000</v>
      </c>
      <c r="F119" s="300" t="s">
        <v>499</v>
      </c>
      <c r="G119" s="448" t="s">
        <v>123</v>
      </c>
      <c r="H119" s="364" t="s">
        <v>124</v>
      </c>
      <c r="I119" s="427" t="str">
        <f>"0x"&amp;DEC2HEX((HEX2DEC(E119)+HEX2DEC(E120)+HEX2DEC(E121)+HEX2DEC(E122)+HEX2DEC(E123)+HEX2DEC(E124)+HEX2DEC(E125)+HEX2DEC(E126)+HEX2DEC(E127)+HEX2DEC(E128)+HEX2DEC(E129)+HEX2DEC(E130)+HEX2DEC(E131)), 8)</f>
        <v>0x00201740</v>
      </c>
      <c r="J119" s="34"/>
      <c r="AJ119" s="16"/>
    </row>
    <row r="120" spans="2:36" ht="38.25">
      <c r="B120" s="294" t="s">
        <v>125</v>
      </c>
      <c r="C120" s="295" t="s">
        <v>0</v>
      </c>
      <c r="D120" s="296">
        <v>0</v>
      </c>
      <c r="E120" s="297" t="str">
        <f>DEC2HEX(((D120)*2^20),8)</f>
        <v>00000000</v>
      </c>
      <c r="F120" s="298" t="s">
        <v>203</v>
      </c>
      <c r="G120" s="459"/>
      <c r="H120" s="365"/>
      <c r="I120" s="382"/>
      <c r="J120" s="34"/>
      <c r="AJ120" s="16"/>
    </row>
    <row r="121" spans="2:36" ht="89.25">
      <c r="B121" s="139" t="s">
        <v>127</v>
      </c>
      <c r="C121" s="6" t="s">
        <v>0</v>
      </c>
      <c r="D121" s="292">
        <v>0</v>
      </c>
      <c r="E121" s="5" t="str">
        <f>DEC2HEX(((D121)*2^19),8)</f>
        <v>00000000</v>
      </c>
      <c r="F121" s="11" t="s">
        <v>340</v>
      </c>
      <c r="G121" s="459"/>
      <c r="H121" s="365"/>
      <c r="I121" s="382"/>
      <c r="J121" s="34"/>
      <c r="AJ121" s="16"/>
    </row>
    <row r="122" spans="2:36" ht="25.5">
      <c r="B122" s="139" t="s">
        <v>128</v>
      </c>
      <c r="C122" s="6" t="s">
        <v>0</v>
      </c>
      <c r="D122" s="55">
        <v>0</v>
      </c>
      <c r="E122" s="5" t="str">
        <f>DEC2HEX(((D122)*2^18),8)</f>
        <v>00000000</v>
      </c>
      <c r="F122" s="11" t="s">
        <v>141</v>
      </c>
      <c r="G122" s="459"/>
      <c r="H122" s="365"/>
      <c r="I122" s="382"/>
      <c r="J122" s="34"/>
      <c r="AJ122" s="16"/>
    </row>
    <row r="123" spans="2:36" ht="51">
      <c r="B123" s="139" t="s">
        <v>129</v>
      </c>
      <c r="C123" s="6" t="s">
        <v>0</v>
      </c>
      <c r="D123" s="55">
        <v>0</v>
      </c>
      <c r="E123" s="5" t="str">
        <f>DEC2HEX(((D123)*2^16),8)</f>
        <v>00000000</v>
      </c>
      <c r="F123" s="11" t="s">
        <v>204</v>
      </c>
      <c r="G123" s="459"/>
      <c r="H123" s="365"/>
      <c r="I123" s="382"/>
      <c r="J123" s="34"/>
      <c r="AJ123" s="16"/>
    </row>
    <row r="124" spans="2:36" ht="25.5">
      <c r="B124" s="139" t="s">
        <v>130</v>
      </c>
      <c r="C124" s="6" t="s">
        <v>0</v>
      </c>
      <c r="D124" s="55">
        <v>1</v>
      </c>
      <c r="E124" s="5" t="str">
        <f>DEC2HEX(((D124)*2^12),8)</f>
        <v>00001000</v>
      </c>
      <c r="F124" s="11" t="s">
        <v>138</v>
      </c>
      <c r="G124" s="459"/>
      <c r="H124" s="365"/>
      <c r="I124" s="382"/>
      <c r="J124" s="34"/>
      <c r="AJ124" s="16"/>
    </row>
    <row r="125" spans="2:36" ht="12.75" customHeight="1">
      <c r="B125" s="139" t="s">
        <v>131</v>
      </c>
      <c r="C125" s="6" t="s">
        <v>0</v>
      </c>
      <c r="D125" s="4">
        <v>0</v>
      </c>
      <c r="E125" s="5" t="str">
        <f>DEC2HEX(((D125)*2^11),8)</f>
        <v>00000000</v>
      </c>
      <c r="F125" s="11" t="s">
        <v>341</v>
      </c>
      <c r="G125" s="459"/>
      <c r="H125" s="365"/>
      <c r="I125" s="382"/>
      <c r="J125" s="34"/>
      <c r="AJ125" s="16"/>
    </row>
    <row r="126" spans="2:36" ht="25.5">
      <c r="B126" s="139" t="s">
        <v>132</v>
      </c>
      <c r="C126" s="6" t="s">
        <v>0</v>
      </c>
      <c r="D126" s="55">
        <v>3</v>
      </c>
      <c r="E126" s="5" t="str">
        <f>DEC2HEX(((D126)*2^9),8)</f>
        <v>00000600</v>
      </c>
      <c r="F126" s="11" t="s">
        <v>140</v>
      </c>
      <c r="G126" s="459"/>
      <c r="H126" s="365"/>
      <c r="I126" s="382"/>
      <c r="J126" s="34"/>
      <c r="AJ126" s="16"/>
    </row>
    <row r="127" spans="2:36" ht="191.25">
      <c r="B127" s="139" t="s">
        <v>133</v>
      </c>
      <c r="C127" s="6" t="s">
        <v>0</v>
      </c>
      <c r="D127" s="55">
        <v>5</v>
      </c>
      <c r="E127" s="5" t="str">
        <f>DEC2HEX(((D127)*2^6),8)</f>
        <v>00000140</v>
      </c>
      <c r="F127" s="11" t="s">
        <v>241</v>
      </c>
      <c r="G127" s="459"/>
      <c r="H127" s="365"/>
      <c r="I127" s="382"/>
      <c r="J127" s="34"/>
      <c r="AJ127" s="16"/>
    </row>
    <row r="128" spans="2:36" ht="38.25">
      <c r="B128" s="139" t="s">
        <v>134</v>
      </c>
      <c r="C128" s="6" t="s">
        <v>0</v>
      </c>
      <c r="D128" s="293">
        <f>ROUNDDOWN((4/C25),0)</f>
        <v>0</v>
      </c>
      <c r="E128" s="5" t="str">
        <f>DEC2HEX(((D128)*2^5),8)</f>
        <v>00000000</v>
      </c>
      <c r="F128" s="11" t="s">
        <v>240</v>
      </c>
      <c r="G128" s="459"/>
      <c r="H128" s="365"/>
      <c r="I128" s="382"/>
      <c r="J128" s="34"/>
      <c r="AJ128" s="16"/>
    </row>
    <row r="129" spans="1:36" ht="12.75" customHeight="1">
      <c r="B129" s="139" t="s">
        <v>135</v>
      </c>
      <c r="C129" s="6" t="s">
        <v>0</v>
      </c>
      <c r="D129" s="4">
        <v>0</v>
      </c>
      <c r="E129" s="5" t="str">
        <f>DEC2HEX(((D129)*2^3),8)</f>
        <v>00000000</v>
      </c>
      <c r="F129" s="145" t="s">
        <v>246</v>
      </c>
      <c r="G129" s="459"/>
      <c r="H129" s="365"/>
      <c r="I129" s="382"/>
      <c r="J129" s="34"/>
      <c r="AJ129" s="16"/>
    </row>
    <row r="130" spans="1:36" ht="12.75" customHeight="1">
      <c r="B130" s="139" t="s">
        <v>136</v>
      </c>
      <c r="C130" s="6" t="s">
        <v>0</v>
      </c>
      <c r="D130" s="4">
        <v>0</v>
      </c>
      <c r="E130" s="5" t="str">
        <f>DEC2HEX(((D130)*2^2),8)</f>
        <v>00000000</v>
      </c>
      <c r="F130" s="11" t="s">
        <v>247</v>
      </c>
      <c r="G130" s="459"/>
      <c r="H130" s="365"/>
      <c r="I130" s="382"/>
      <c r="J130" s="34"/>
      <c r="AJ130" s="16"/>
    </row>
    <row r="131" spans="1:36" ht="13.5" customHeight="1" thickBot="1">
      <c r="B131" s="142" t="s">
        <v>137</v>
      </c>
      <c r="C131" s="144" t="s">
        <v>0</v>
      </c>
      <c r="D131" s="140">
        <v>0</v>
      </c>
      <c r="E131" s="140" t="str">
        <f>DEC2HEX(((D131)*2^1),8)</f>
        <v>00000000</v>
      </c>
      <c r="F131" s="141" t="s">
        <v>139</v>
      </c>
      <c r="G131" s="449"/>
      <c r="H131" s="366"/>
      <c r="I131" s="428"/>
      <c r="J131" s="34"/>
      <c r="AJ131" s="16"/>
    </row>
    <row r="132" spans="1:36" ht="13.5" thickBot="1">
      <c r="B132" s="24"/>
      <c r="C132" s="23"/>
      <c r="D132" s="23"/>
      <c r="E132" s="23"/>
      <c r="F132" s="52"/>
      <c r="G132" s="112"/>
      <c r="H132" s="100"/>
      <c r="I132" s="100"/>
      <c r="J132" s="34"/>
      <c r="AJ132" s="16"/>
    </row>
    <row r="133" spans="1:36" ht="26.25" thickBot="1">
      <c r="B133" s="2" t="s">
        <v>105</v>
      </c>
      <c r="C133" s="2" t="s">
        <v>108</v>
      </c>
      <c r="D133" s="2" t="s">
        <v>8</v>
      </c>
      <c r="E133" s="2" t="s">
        <v>7</v>
      </c>
      <c r="F133" s="7" t="s">
        <v>1</v>
      </c>
      <c r="G133" s="121" t="s">
        <v>3</v>
      </c>
      <c r="H133" s="8" t="s">
        <v>4</v>
      </c>
      <c r="I133" s="8" t="s">
        <v>5</v>
      </c>
      <c r="J133" s="34"/>
      <c r="AJ133" s="16"/>
    </row>
    <row r="134" spans="1:36" ht="3.75" customHeight="1" thickBot="1">
      <c r="B134" s="101"/>
      <c r="C134" s="101"/>
      <c r="D134" s="101"/>
      <c r="E134" s="101"/>
      <c r="F134" s="102"/>
      <c r="G134" s="103"/>
      <c r="H134" s="103"/>
      <c r="I134" s="103"/>
      <c r="J134" s="34"/>
      <c r="AJ134" s="16"/>
    </row>
    <row r="135" spans="1:36" ht="166.5" thickBot="1">
      <c r="B135" s="105" t="s">
        <v>111</v>
      </c>
      <c r="C135" s="114">
        <v>8192</v>
      </c>
      <c r="D135" s="113">
        <f>((C135/4096)-1)</f>
        <v>1</v>
      </c>
      <c r="E135" s="104" t="str">
        <f>DEC2HEX(((D135)*2^11),8)</f>
        <v>00000800</v>
      </c>
      <c r="F135" s="108" t="s">
        <v>250</v>
      </c>
      <c r="G135" s="109" t="s">
        <v>109</v>
      </c>
      <c r="H135" s="267" t="s">
        <v>110</v>
      </c>
      <c r="I135" s="268" t="str">
        <f>"0x"&amp;DEC2HEX((HEX2DEC(E135)),8)</f>
        <v>0x00000800</v>
      </c>
      <c r="J135" s="34"/>
      <c r="AJ135" s="16"/>
    </row>
    <row r="136" spans="1:36" ht="13.5" thickBot="1">
      <c r="B136" s="24"/>
      <c r="C136" s="23"/>
      <c r="D136" s="23"/>
      <c r="E136" s="23"/>
      <c r="F136" s="52"/>
      <c r="G136" s="112"/>
      <c r="H136" s="100"/>
      <c r="I136" s="100"/>
      <c r="J136" s="34"/>
      <c r="AJ136" s="16"/>
    </row>
    <row r="137" spans="1:36" ht="64.5" thickBot="1">
      <c r="B137" s="2" t="s">
        <v>105</v>
      </c>
      <c r="C137" s="2" t="s">
        <v>365</v>
      </c>
      <c r="D137" s="2" t="s">
        <v>8</v>
      </c>
      <c r="E137" s="2" t="s">
        <v>7</v>
      </c>
      <c r="F137" s="7" t="s">
        <v>1</v>
      </c>
      <c r="G137" s="121" t="s">
        <v>3</v>
      </c>
      <c r="H137" s="8" t="s">
        <v>4</v>
      </c>
      <c r="I137" s="8" t="s">
        <v>5</v>
      </c>
      <c r="J137" s="34"/>
      <c r="AJ137" s="16"/>
    </row>
    <row r="138" spans="1:36" ht="3" customHeight="1" thickBot="1">
      <c r="B138" s="101"/>
      <c r="C138" s="101"/>
      <c r="D138" s="101"/>
      <c r="E138" s="101"/>
      <c r="F138" s="102"/>
      <c r="G138" s="103"/>
      <c r="H138" s="103"/>
      <c r="I138" s="103"/>
      <c r="J138" s="34"/>
      <c r="AJ138" s="16"/>
    </row>
    <row r="139" spans="1:36" ht="115.5" thickBot="1">
      <c r="B139" s="105" t="s">
        <v>218</v>
      </c>
      <c r="C139" s="192" t="str">
        <f>"0x"&amp;DEC2HEX(((C20*1024*1024*1024)/8+ 2048*1024*1024-1), 8)</f>
        <v>0x8FFFFFFF</v>
      </c>
      <c r="D139" s="107">
        <f>((((C20*1024*1024*1024)/8+ 2048*1024*1024)/(32*1024*1024))-1)</f>
        <v>71</v>
      </c>
      <c r="E139" s="104" t="str">
        <f>DEC2HEX(((D139)*2^0),8)</f>
        <v>00000047</v>
      </c>
      <c r="F139" s="108" t="s">
        <v>219</v>
      </c>
      <c r="G139" s="109" t="s">
        <v>106</v>
      </c>
      <c r="H139" s="267" t="s">
        <v>107</v>
      </c>
      <c r="I139" s="268" t="str">
        <f>"0x"&amp;DEC2HEX((HEX2DEC(E139)), 8)</f>
        <v>0x00000047</v>
      </c>
      <c r="J139" s="34"/>
      <c r="AJ139" s="16"/>
    </row>
    <row r="140" spans="1:36" s="9" customFormat="1" ht="15" thickBot="1">
      <c r="A140" s="22"/>
      <c r="B140" s="110"/>
      <c r="C140" s="215"/>
      <c r="E140" s="53"/>
      <c r="F140" s="111"/>
      <c r="G140" s="112"/>
      <c r="H140" s="100"/>
      <c r="I140" s="100"/>
      <c r="J140" s="51"/>
      <c r="K140" s="22"/>
      <c r="L140" s="22"/>
      <c r="M140" s="22"/>
      <c r="N140" s="22"/>
      <c r="O140" s="22"/>
      <c r="P140" s="22"/>
      <c r="Q140" s="22"/>
      <c r="R140" s="22"/>
      <c r="S140" s="22"/>
      <c r="T140" s="22"/>
      <c r="U140" s="22"/>
      <c r="V140" s="22"/>
      <c r="AJ140" s="22"/>
    </row>
    <row r="141" spans="1:36" ht="26.25" thickBot="1">
      <c r="B141" s="2" t="s">
        <v>112</v>
      </c>
      <c r="C141" s="2" t="s">
        <v>6</v>
      </c>
      <c r="D141" s="2" t="s">
        <v>8</v>
      </c>
      <c r="E141" s="2" t="s">
        <v>7</v>
      </c>
      <c r="F141" s="7" t="s">
        <v>1</v>
      </c>
      <c r="G141" s="121" t="s">
        <v>3</v>
      </c>
      <c r="H141" s="8" t="s">
        <v>4</v>
      </c>
      <c r="I141" s="8" t="s">
        <v>5</v>
      </c>
      <c r="J141" s="34"/>
      <c r="AJ141" s="16"/>
    </row>
    <row r="142" spans="1:36" ht="3" customHeight="1" thickBot="1">
      <c r="B142" s="110"/>
      <c r="C142" s="53"/>
      <c r="D142" s="9"/>
      <c r="E142" s="53"/>
      <c r="F142" s="111"/>
      <c r="G142" s="112"/>
      <c r="H142" s="100"/>
      <c r="I142" s="100"/>
      <c r="J142" s="34"/>
      <c r="AJ142" s="16"/>
    </row>
    <row r="143" spans="1:36">
      <c r="B143" s="305" t="s">
        <v>502</v>
      </c>
      <c r="C143" s="301" t="s">
        <v>0</v>
      </c>
      <c r="D143" s="302" t="s">
        <v>0</v>
      </c>
      <c r="E143" s="303" t="s">
        <v>0</v>
      </c>
      <c r="F143" s="301" t="s">
        <v>0</v>
      </c>
      <c r="G143" s="400" t="s">
        <v>342</v>
      </c>
      <c r="H143" s="462" t="s">
        <v>353</v>
      </c>
      <c r="I143" s="444" t="str">
        <f>"0x"&amp;DEC2HEX((HEX2DEC(E145)+HEX2DEC(E146)+HEX2DEC(E147)+HEX2DEC(E148)+HEX2DEC(E149)+HEX2DEC(E150)), 8)</f>
        <v>0x00000227</v>
      </c>
      <c r="J143" s="34"/>
      <c r="AJ143" s="16"/>
    </row>
    <row r="144" spans="1:36">
      <c r="B144" s="306" t="s">
        <v>502</v>
      </c>
      <c r="C144" s="88" t="s">
        <v>0</v>
      </c>
      <c r="D144" s="291" t="s">
        <v>0</v>
      </c>
      <c r="E144" s="304" t="s">
        <v>0</v>
      </c>
      <c r="F144" s="88" t="s">
        <v>0</v>
      </c>
      <c r="G144" s="401"/>
      <c r="H144" s="453"/>
      <c r="I144" s="445"/>
      <c r="J144" s="34"/>
      <c r="AJ144" s="16"/>
    </row>
    <row r="145" spans="2:36" ht="140.25">
      <c r="B145" s="73" t="s">
        <v>343</v>
      </c>
      <c r="C145" s="210" t="s">
        <v>0</v>
      </c>
      <c r="D145" s="254">
        <v>2</v>
      </c>
      <c r="E145" s="29" t="str">
        <f>DEC2HEX(((D145)*2^8),8)</f>
        <v>00000200</v>
      </c>
      <c r="F145" s="30" t="s">
        <v>501</v>
      </c>
      <c r="G145" s="401"/>
      <c r="H145" s="453"/>
      <c r="I145" s="445"/>
      <c r="J145" s="34"/>
      <c r="AJ145" s="16"/>
    </row>
    <row r="146" spans="2:36" ht="140.25">
      <c r="B146" s="73" t="s">
        <v>344</v>
      </c>
      <c r="C146" s="210" t="s">
        <v>0</v>
      </c>
      <c r="D146" s="254">
        <v>2</v>
      </c>
      <c r="E146" s="29" t="str">
        <f>DEC2HEX(((D146)*2^4),8)</f>
        <v>00000020</v>
      </c>
      <c r="F146" s="30" t="s">
        <v>500</v>
      </c>
      <c r="G146" s="401"/>
      <c r="H146" s="453"/>
      <c r="I146" s="445"/>
      <c r="J146" s="34"/>
      <c r="AJ146" s="16"/>
    </row>
    <row r="147" spans="2:36" ht="63.75">
      <c r="B147" s="89" t="s">
        <v>345</v>
      </c>
      <c r="C147" s="210" t="s">
        <v>0</v>
      </c>
      <c r="D147" s="254">
        <v>0</v>
      </c>
      <c r="E147" s="35" t="str">
        <f>DEC2HEX(((D147)*2^3),8)</f>
        <v>00000000</v>
      </c>
      <c r="F147" s="36" t="s">
        <v>346</v>
      </c>
      <c r="G147" s="401"/>
      <c r="H147" s="453"/>
      <c r="I147" s="445"/>
      <c r="J147" s="34"/>
      <c r="AJ147" s="16"/>
    </row>
    <row r="148" spans="2:36" ht="140.25">
      <c r="B148" s="90" t="s">
        <v>347</v>
      </c>
      <c r="C148" s="210" t="s">
        <v>0</v>
      </c>
      <c r="D148" s="254">
        <v>1</v>
      </c>
      <c r="E148" s="96" t="str">
        <f>DEC2HEX(((D148)*2^2),8)</f>
        <v>00000004</v>
      </c>
      <c r="F148" s="66" t="s">
        <v>348</v>
      </c>
      <c r="G148" s="401"/>
      <c r="H148" s="453"/>
      <c r="I148" s="445"/>
      <c r="J148" s="34"/>
      <c r="AJ148" s="16"/>
    </row>
    <row r="149" spans="2:36" ht="140.25">
      <c r="B149" s="90" t="s">
        <v>349</v>
      </c>
      <c r="C149" s="255" t="s">
        <v>0</v>
      </c>
      <c r="D149" s="256">
        <v>1</v>
      </c>
      <c r="E149" s="96" t="str">
        <f>DEC2HEX(((D149)*2^1),8)</f>
        <v>00000002</v>
      </c>
      <c r="F149" s="66" t="s">
        <v>350</v>
      </c>
      <c r="G149" s="401"/>
      <c r="H149" s="453"/>
      <c r="I149" s="445"/>
      <c r="J149" s="34"/>
      <c r="AJ149" s="16"/>
    </row>
    <row r="150" spans="2:36" ht="141" thickBot="1">
      <c r="B150" s="74" t="s">
        <v>351</v>
      </c>
      <c r="C150" s="220" t="s">
        <v>0</v>
      </c>
      <c r="D150" s="221">
        <v>1</v>
      </c>
      <c r="E150" s="227" t="str">
        <f>DEC2HEX(((D150)*2^0),8)</f>
        <v>00000001</v>
      </c>
      <c r="F150" s="78" t="s">
        <v>352</v>
      </c>
      <c r="G150" s="402"/>
      <c r="H150" s="454"/>
      <c r="I150" s="446"/>
      <c r="J150" s="34"/>
      <c r="AJ150" s="16"/>
    </row>
    <row r="151" spans="2:36" s="16" customFormat="1" ht="14.25">
      <c r="B151" s="110"/>
      <c r="C151" s="215"/>
      <c r="D151" s="22"/>
      <c r="E151" s="53"/>
      <c r="F151" s="111"/>
      <c r="G151" s="216"/>
      <c r="H151" s="216"/>
      <c r="I151" s="216"/>
      <c r="J151" s="34"/>
    </row>
    <row r="152" spans="2:36" ht="13.5" thickBot="1">
      <c r="B152" s="110"/>
      <c r="C152" s="53"/>
      <c r="D152" s="9"/>
      <c r="E152" s="53"/>
      <c r="F152" s="111"/>
      <c r="G152" s="112"/>
      <c r="H152" s="100"/>
      <c r="I152" s="100"/>
      <c r="J152" s="34"/>
      <c r="AJ152" s="16"/>
    </row>
    <row r="153" spans="2:36" s="16" customFormat="1">
      <c r="B153" s="463" t="s">
        <v>142</v>
      </c>
      <c r="C153" s="464"/>
      <c r="D153" s="464"/>
      <c r="E153" s="464"/>
      <c r="F153" s="464"/>
      <c r="G153" s="464"/>
      <c r="H153" s="464"/>
      <c r="I153" s="465"/>
    </row>
    <row r="154" spans="2:36" s="16" customFormat="1" ht="13.5" thickBot="1">
      <c r="B154" s="466" t="s">
        <v>251</v>
      </c>
      <c r="C154" s="467"/>
      <c r="D154" s="467"/>
      <c r="E154" s="467"/>
      <c r="F154" s="467"/>
      <c r="G154" s="467"/>
      <c r="H154" s="467"/>
      <c r="I154" s="468"/>
    </row>
    <row r="155" spans="2:36" s="16" customFormat="1" ht="13.5" thickBot="1">
      <c r="B155" s="47"/>
      <c r="E155" s="23"/>
      <c r="G155" s="23"/>
      <c r="H155" s="23"/>
      <c r="I155" s="23"/>
    </row>
    <row r="156" spans="2:36" s="16" customFormat="1" ht="13.5" thickBot="1">
      <c r="B156" s="197" t="s">
        <v>152</v>
      </c>
      <c r="E156" s="23"/>
      <c r="G156" s="23"/>
      <c r="H156" s="23"/>
      <c r="I156" s="23"/>
    </row>
    <row r="157" spans="2:36" s="16" customFormat="1" ht="26.25" thickBot="1">
      <c r="B157" s="2" t="s">
        <v>252</v>
      </c>
      <c r="C157" s="2" t="s">
        <v>6</v>
      </c>
      <c r="D157" s="2" t="s">
        <v>8</v>
      </c>
      <c r="E157" s="2" t="s">
        <v>7</v>
      </c>
      <c r="F157" s="7" t="s">
        <v>1</v>
      </c>
      <c r="G157" s="121" t="s">
        <v>3</v>
      </c>
      <c r="H157" s="8" t="s">
        <v>4</v>
      </c>
      <c r="I157" s="8" t="s">
        <v>5</v>
      </c>
    </row>
    <row r="158" spans="2:36" s="16" customFormat="1" ht="5.25" customHeight="1" thickBot="1">
      <c r="B158" s="101"/>
      <c r="C158" s="101"/>
      <c r="D158" s="101"/>
      <c r="E158" s="101"/>
      <c r="F158" s="102"/>
      <c r="G158" s="103"/>
      <c r="H158" s="103"/>
      <c r="I158" s="103"/>
    </row>
    <row r="159" spans="2:36" s="16" customFormat="1" ht="25.5">
      <c r="B159" s="137" t="s">
        <v>253</v>
      </c>
      <c r="C159" s="143" t="s">
        <v>0</v>
      </c>
      <c r="D159" s="154">
        <v>1</v>
      </c>
      <c r="E159" s="138" t="str">
        <f>DEC2HEX(((D159)*2^(16+9)),8)</f>
        <v>02000000</v>
      </c>
      <c r="F159" s="150" t="s">
        <v>254</v>
      </c>
      <c r="G159" s="424" t="s">
        <v>143</v>
      </c>
      <c r="H159" s="364" t="s">
        <v>144</v>
      </c>
      <c r="I159" s="427" t="str">
        <f>"0x"&amp;DEC2HEX((HEX2DEC(E159)+HEX2DEC(E160)+HEX2DEC(E161)+HEX2DEC(E162)+HEX2DEC(E163)+HEX2DEC(E164)+HEX2DEC(E165)+HEX2DEC(E166)+HEX2DEC(E167)), 8)</f>
        <v>0x02008032</v>
      </c>
    </row>
    <row r="160" spans="2:36" s="16" customFormat="1">
      <c r="B160" s="139" t="s">
        <v>255</v>
      </c>
      <c r="C160" s="6" t="s">
        <v>0</v>
      </c>
      <c r="D160" s="12">
        <v>0</v>
      </c>
      <c r="E160" s="5" t="str">
        <f>DEC2HEX(((D160)*2^(16+7)),8)</f>
        <v>00000000</v>
      </c>
      <c r="F160" s="151" t="s">
        <v>256</v>
      </c>
      <c r="G160" s="425"/>
      <c r="H160" s="365"/>
      <c r="I160" s="382"/>
    </row>
    <row r="161" spans="2:9" s="16" customFormat="1">
      <c r="B161" s="139" t="s">
        <v>257</v>
      </c>
      <c r="C161" s="6" t="s">
        <v>0</v>
      </c>
      <c r="D161" s="12">
        <v>0</v>
      </c>
      <c r="E161" s="5" t="str">
        <f>DEC2HEX(((D161)*2^(16+6)),8)</f>
        <v>00000000</v>
      </c>
      <c r="F161" s="151" t="s">
        <v>258</v>
      </c>
      <c r="G161" s="425"/>
      <c r="H161" s="365"/>
      <c r="I161" s="382"/>
    </row>
    <row r="162" spans="2:9" s="16" customFormat="1" ht="39" thickBot="1">
      <c r="B162" s="146" t="s">
        <v>259</v>
      </c>
      <c r="C162" s="147" t="s">
        <v>0</v>
      </c>
      <c r="D162" s="191">
        <f>(D101)</f>
        <v>5</v>
      </c>
      <c r="E162" s="149" t="str">
        <f>DEC2HEX(((D162-5)*2^(16+3)),8)</f>
        <v>00000000</v>
      </c>
      <c r="F162" s="152" t="s">
        <v>260</v>
      </c>
      <c r="G162" s="425"/>
      <c r="H162" s="365"/>
      <c r="I162" s="382"/>
    </row>
    <row r="163" spans="2:9" s="16" customFormat="1">
      <c r="B163" s="137" t="s">
        <v>145</v>
      </c>
      <c r="C163" s="143" t="s">
        <v>0</v>
      </c>
      <c r="D163" s="153">
        <v>1</v>
      </c>
      <c r="E163" s="138" t="str">
        <f>DEC2HEX(((D163)*2^15),8)</f>
        <v>00008000</v>
      </c>
      <c r="F163" s="150" t="s">
        <v>153</v>
      </c>
      <c r="G163" s="425"/>
      <c r="H163" s="365"/>
      <c r="I163" s="382"/>
    </row>
    <row r="164" spans="2:9" s="16" customFormat="1">
      <c r="B164" s="139" t="s">
        <v>146</v>
      </c>
      <c r="C164" s="6" t="s">
        <v>0</v>
      </c>
      <c r="D164" s="4">
        <v>0</v>
      </c>
      <c r="E164" s="5" t="str">
        <f>DEC2HEX(((D164)*2^9),8)</f>
        <v>00000000</v>
      </c>
      <c r="F164" s="151" t="s">
        <v>154</v>
      </c>
      <c r="G164" s="425"/>
      <c r="H164" s="365"/>
      <c r="I164" s="382"/>
    </row>
    <row r="165" spans="2:9" s="16" customFormat="1">
      <c r="B165" s="139" t="s">
        <v>147</v>
      </c>
      <c r="C165" s="6" t="s">
        <v>0</v>
      </c>
      <c r="D165" s="4">
        <v>3</v>
      </c>
      <c r="E165" s="5" t="str">
        <f>DEC2HEX(((D165)*2^4),8)</f>
        <v>00000030</v>
      </c>
      <c r="F165" s="151" t="s">
        <v>150</v>
      </c>
      <c r="G165" s="425"/>
      <c r="H165" s="365"/>
      <c r="I165" s="382"/>
    </row>
    <row r="166" spans="2:9" s="16" customFormat="1">
      <c r="B166" s="139" t="s">
        <v>148</v>
      </c>
      <c r="C166" s="6" t="s">
        <v>0</v>
      </c>
      <c r="D166" s="12">
        <v>0</v>
      </c>
      <c r="E166" s="5" t="str">
        <f>DEC2HEX(((D166)*2^3),8)</f>
        <v>00000000</v>
      </c>
      <c r="F166" s="151" t="s">
        <v>151</v>
      </c>
      <c r="G166" s="425"/>
      <c r="H166" s="365"/>
      <c r="I166" s="382"/>
    </row>
    <row r="167" spans="2:9" s="16" customFormat="1" ht="13.5" thickBot="1">
      <c r="B167" s="146" t="s">
        <v>149</v>
      </c>
      <c r="C167" s="147" t="s">
        <v>0</v>
      </c>
      <c r="D167" s="148">
        <v>2</v>
      </c>
      <c r="E167" s="149" t="str">
        <f>DEC2HEX(((D167)*2^0),8)</f>
        <v>00000002</v>
      </c>
      <c r="F167" s="152" t="s">
        <v>261</v>
      </c>
      <c r="G167" s="426"/>
      <c r="H167" s="366"/>
      <c r="I167" s="428"/>
    </row>
    <row r="168" spans="2:9" s="16" customFormat="1" ht="13.5" thickBot="1">
      <c r="E168" s="23"/>
      <c r="G168" s="23"/>
      <c r="H168" s="23"/>
      <c r="I168" s="23"/>
    </row>
    <row r="169" spans="2:9" s="16" customFormat="1" ht="26.25" thickBot="1">
      <c r="B169" s="2" t="s">
        <v>262</v>
      </c>
      <c r="C169" s="2" t="s">
        <v>6</v>
      </c>
      <c r="D169" s="2" t="s">
        <v>8</v>
      </c>
      <c r="E169" s="2" t="s">
        <v>7</v>
      </c>
      <c r="F169" s="7" t="s">
        <v>1</v>
      </c>
      <c r="G169" s="121" t="s">
        <v>3</v>
      </c>
      <c r="H169" s="8" t="s">
        <v>4</v>
      </c>
      <c r="I169" s="8" t="s">
        <v>5</v>
      </c>
    </row>
    <row r="170" spans="2:9" s="16" customFormat="1" ht="6.75" customHeight="1" thickBot="1">
      <c r="B170" s="101"/>
      <c r="C170" s="101"/>
      <c r="D170" s="101"/>
      <c r="E170" s="101"/>
      <c r="F170" s="102"/>
      <c r="G170" s="103"/>
      <c r="H170" s="103"/>
      <c r="I170" s="103"/>
    </row>
    <row r="171" spans="2:9" s="16" customFormat="1">
      <c r="B171" s="137" t="s">
        <v>263</v>
      </c>
      <c r="C171" s="143" t="s">
        <v>0</v>
      </c>
      <c r="D171" s="153">
        <v>0</v>
      </c>
      <c r="E171" s="138" t="str">
        <f>DEC2HEX(((D171)*2^(16+2)),8)</f>
        <v>00000000</v>
      </c>
      <c r="F171" s="150" t="s">
        <v>264</v>
      </c>
      <c r="G171" s="424" t="s">
        <v>143</v>
      </c>
      <c r="H171" s="364" t="s">
        <v>144</v>
      </c>
      <c r="I171" s="427" t="str">
        <f>"0x"&amp;DEC2HEX((HEX2DEC(E171)+HEX2DEC(E172)+HEX2DEC(E173)+HEX2DEC(E174)+HEX2DEC(E175)+HEX2DEC(E176)+HEX2DEC(E177)), 8)</f>
        <v>0x00008033</v>
      </c>
    </row>
    <row r="172" spans="2:9" s="16" customFormat="1" ht="13.5" thickBot="1">
      <c r="B172" s="139" t="s">
        <v>265</v>
      </c>
      <c r="C172" s="6" t="s">
        <v>0</v>
      </c>
      <c r="D172" s="12">
        <v>0</v>
      </c>
      <c r="E172" s="5" t="str">
        <f>DEC2HEX(((D172)*2^(16+0)),8)</f>
        <v>00000000</v>
      </c>
      <c r="F172" s="151" t="s">
        <v>266</v>
      </c>
      <c r="G172" s="425"/>
      <c r="H172" s="365"/>
      <c r="I172" s="382"/>
    </row>
    <row r="173" spans="2:9" s="16" customFormat="1">
      <c r="B173" s="137" t="s">
        <v>145</v>
      </c>
      <c r="C173" s="143" t="s">
        <v>0</v>
      </c>
      <c r="D173" s="153">
        <v>1</v>
      </c>
      <c r="E173" s="138" t="str">
        <f>DEC2HEX(((D173)*2^15),8)</f>
        <v>00008000</v>
      </c>
      <c r="F173" s="150" t="s">
        <v>153</v>
      </c>
      <c r="G173" s="425"/>
      <c r="H173" s="365"/>
      <c r="I173" s="382"/>
    </row>
    <row r="174" spans="2:9" s="16" customFormat="1">
      <c r="B174" s="139" t="s">
        <v>146</v>
      </c>
      <c r="C174" s="6" t="s">
        <v>0</v>
      </c>
      <c r="D174" s="4">
        <v>0</v>
      </c>
      <c r="E174" s="5" t="str">
        <f>DEC2HEX(((D174)*2^9),8)</f>
        <v>00000000</v>
      </c>
      <c r="F174" s="151" t="s">
        <v>154</v>
      </c>
      <c r="G174" s="425"/>
      <c r="H174" s="365"/>
      <c r="I174" s="382"/>
    </row>
    <row r="175" spans="2:9" s="16" customFormat="1">
      <c r="B175" s="139" t="s">
        <v>147</v>
      </c>
      <c r="C175" s="6" t="s">
        <v>0</v>
      </c>
      <c r="D175" s="4">
        <v>3</v>
      </c>
      <c r="E175" s="5" t="str">
        <f>DEC2HEX(((D175)*2^4),8)</f>
        <v>00000030</v>
      </c>
      <c r="F175" s="151" t="s">
        <v>150</v>
      </c>
      <c r="G175" s="425"/>
      <c r="H175" s="365"/>
      <c r="I175" s="382"/>
    </row>
    <row r="176" spans="2:9" s="16" customFormat="1">
      <c r="B176" s="139" t="s">
        <v>148</v>
      </c>
      <c r="C176" s="6" t="s">
        <v>0</v>
      </c>
      <c r="D176" s="12">
        <v>0</v>
      </c>
      <c r="E176" s="5" t="str">
        <f>DEC2HEX(((D176)*2^3),8)</f>
        <v>00000000</v>
      </c>
      <c r="F176" s="151" t="s">
        <v>151</v>
      </c>
      <c r="G176" s="425"/>
      <c r="H176" s="365"/>
      <c r="I176" s="382"/>
    </row>
    <row r="177" spans="2:9" s="16" customFormat="1" ht="13.5" thickBot="1">
      <c r="B177" s="146" t="s">
        <v>149</v>
      </c>
      <c r="C177" s="147" t="s">
        <v>0</v>
      </c>
      <c r="D177" s="148">
        <v>3</v>
      </c>
      <c r="E177" s="149" t="str">
        <f>DEC2HEX(((D177)*2^0),8)</f>
        <v>00000003</v>
      </c>
      <c r="F177" s="152" t="s">
        <v>267</v>
      </c>
      <c r="G177" s="426"/>
      <c r="H177" s="366"/>
      <c r="I177" s="428"/>
    </row>
    <row r="178" spans="2:9" s="16" customFormat="1" ht="13.5" thickBot="1">
      <c r="E178" s="23"/>
      <c r="G178" s="23"/>
      <c r="H178" s="23"/>
      <c r="I178" s="23"/>
    </row>
    <row r="179" spans="2:9" s="16" customFormat="1" ht="26.25" thickBot="1">
      <c r="B179" s="2" t="s">
        <v>268</v>
      </c>
      <c r="C179" s="2" t="s">
        <v>6</v>
      </c>
      <c r="D179" s="2" t="s">
        <v>8</v>
      </c>
      <c r="E179" s="2" t="s">
        <v>7</v>
      </c>
      <c r="F179" s="7" t="s">
        <v>1</v>
      </c>
      <c r="G179" s="121" t="s">
        <v>3</v>
      </c>
      <c r="H179" s="8" t="s">
        <v>4</v>
      </c>
      <c r="I179" s="8" t="s">
        <v>5</v>
      </c>
    </row>
    <row r="180" spans="2:9" s="16" customFormat="1" ht="5.25" customHeight="1" thickBot="1">
      <c r="B180" s="101"/>
      <c r="C180" s="101"/>
      <c r="D180" s="101"/>
      <c r="E180" s="101"/>
      <c r="F180" s="102"/>
      <c r="G180" s="103"/>
      <c r="H180" s="103"/>
      <c r="I180" s="103"/>
    </row>
    <row r="181" spans="2:9" s="16" customFormat="1">
      <c r="B181" s="137" t="s">
        <v>269</v>
      </c>
      <c r="C181" s="143" t="s">
        <v>0</v>
      </c>
      <c r="D181" s="153">
        <v>0</v>
      </c>
      <c r="E181" s="138" t="str">
        <f>DEC2HEX(((D181)*2^(16+12)),8)</f>
        <v>00000000</v>
      </c>
      <c r="F181" s="150" t="s">
        <v>266</v>
      </c>
      <c r="G181" s="424" t="s">
        <v>143</v>
      </c>
      <c r="H181" s="364" t="s">
        <v>144</v>
      </c>
      <c r="I181" s="427" t="str">
        <f>"0x"&amp;DEC2HEX((HEX2DEC(E181)+HEX2DEC(E182)+HEX2DEC(E183)+HEX2DEC(E184)++HEX2DEC(E185)+HEX2DEC(E186)+HEX2DEC(E187)+HEX2DEC(E188)+HEX2DEC(E189)+HEX2DEC(E190)+HEX2DEC(E191)+HEX2DEC(E192)+HEX2DEC(E193)+HEX2DEC(E194)+HEX2DEC(E195)), 8)</f>
        <v>0x00048031</v>
      </c>
    </row>
    <row r="182" spans="2:9" s="16" customFormat="1" ht="25.5">
      <c r="B182" s="139" t="s">
        <v>270</v>
      </c>
      <c r="C182" s="6" t="s">
        <v>0</v>
      </c>
      <c r="D182" s="12">
        <v>0</v>
      </c>
      <c r="E182" s="5" t="str">
        <f>DEC2HEX(((D182)*2^(16+11)),8)</f>
        <v>00000000</v>
      </c>
      <c r="F182" s="151" t="s">
        <v>271</v>
      </c>
      <c r="G182" s="425"/>
      <c r="H182" s="365"/>
      <c r="I182" s="382"/>
    </row>
    <row r="183" spans="2:9" s="16" customFormat="1">
      <c r="B183" s="139" t="s">
        <v>272</v>
      </c>
      <c r="C183" s="6" t="s">
        <v>0</v>
      </c>
      <c r="D183" s="228">
        <v>0</v>
      </c>
      <c r="E183" s="5" t="str">
        <f>DEC2HEX(((D183)*2^(16+9)),8)</f>
        <v>00000000</v>
      </c>
      <c r="F183" s="429" t="s">
        <v>273</v>
      </c>
      <c r="G183" s="425"/>
      <c r="H183" s="365"/>
      <c r="I183" s="382"/>
    </row>
    <row r="184" spans="2:9" s="16" customFormat="1">
      <c r="B184" s="139" t="s">
        <v>274</v>
      </c>
      <c r="C184" s="6" t="s">
        <v>0</v>
      </c>
      <c r="D184" s="233">
        <v>0</v>
      </c>
      <c r="E184" s="156" t="str">
        <f>DEC2HEX(((D184)*2^(16+6)),8)</f>
        <v>00000000</v>
      </c>
      <c r="F184" s="430"/>
      <c r="G184" s="425"/>
      <c r="H184" s="365"/>
      <c r="I184" s="382"/>
    </row>
    <row r="185" spans="2:9" s="16" customFormat="1" ht="23.25" customHeight="1">
      <c r="B185" s="139" t="s">
        <v>275</v>
      </c>
      <c r="C185" s="6" t="s">
        <v>0</v>
      </c>
      <c r="D185" s="233">
        <v>1</v>
      </c>
      <c r="E185" s="156" t="str">
        <f>DEC2HEX(((D185)*2^(16+2)),8)</f>
        <v>00040000</v>
      </c>
      <c r="F185" s="431"/>
      <c r="G185" s="425"/>
      <c r="H185" s="365"/>
      <c r="I185" s="382"/>
    </row>
    <row r="186" spans="2:9" s="16" customFormat="1">
      <c r="B186" s="155" t="s">
        <v>276</v>
      </c>
      <c r="C186" s="6" t="s">
        <v>0</v>
      </c>
      <c r="D186" s="234">
        <v>0</v>
      </c>
      <c r="E186" s="156" t="str">
        <f>DEC2HEX(((D186)*2^(16+7)),8)</f>
        <v>00000000</v>
      </c>
      <c r="F186" s="214" t="s">
        <v>277</v>
      </c>
      <c r="G186" s="425"/>
      <c r="H186" s="365"/>
      <c r="I186" s="382"/>
    </row>
    <row r="187" spans="2:9" s="16" customFormat="1">
      <c r="B187" s="155" t="s">
        <v>278</v>
      </c>
      <c r="C187" s="6" t="s">
        <v>0</v>
      </c>
      <c r="D187" s="233">
        <v>0</v>
      </c>
      <c r="E187" s="156" t="str">
        <f>DEC2HEX(((D187)*2^(16+5)),8)</f>
        <v>00000000</v>
      </c>
      <c r="F187" s="429" t="s">
        <v>279</v>
      </c>
      <c r="G187" s="425"/>
      <c r="H187" s="365"/>
      <c r="I187" s="382"/>
    </row>
    <row r="188" spans="2:9" s="16" customFormat="1">
      <c r="B188" s="155" t="s">
        <v>280</v>
      </c>
      <c r="C188" s="6" t="s">
        <v>0</v>
      </c>
      <c r="D188" s="233">
        <v>0</v>
      </c>
      <c r="E188" s="156" t="str">
        <f>DEC2HEX(((D188)*2^(16+1)),8)</f>
        <v>00000000</v>
      </c>
      <c r="F188" s="431"/>
      <c r="G188" s="425"/>
      <c r="H188" s="365"/>
      <c r="I188" s="382"/>
    </row>
    <row r="189" spans="2:9" s="16" customFormat="1">
      <c r="B189" s="155" t="s">
        <v>281</v>
      </c>
      <c r="C189" s="6" t="s">
        <v>0</v>
      </c>
      <c r="D189" s="234">
        <v>0</v>
      </c>
      <c r="E189" s="156" t="str">
        <f>DEC2HEX(((D189)*2^(16+3)),8)</f>
        <v>00000000</v>
      </c>
      <c r="F189" s="214" t="s">
        <v>282</v>
      </c>
      <c r="G189" s="425"/>
      <c r="H189" s="365"/>
      <c r="I189" s="382"/>
    </row>
    <row r="190" spans="2:9" s="16" customFormat="1" ht="13.5" thickBot="1">
      <c r="B190" s="146" t="s">
        <v>283</v>
      </c>
      <c r="C190" s="147" t="s">
        <v>0</v>
      </c>
      <c r="D190" s="235">
        <f>(D120)</f>
        <v>0</v>
      </c>
      <c r="E190" s="149" t="str">
        <f>DEC2HEX(((D190)*2^(16+0)),8)</f>
        <v>00000000</v>
      </c>
      <c r="F190" s="152" t="s">
        <v>284</v>
      </c>
      <c r="G190" s="425"/>
      <c r="H190" s="365"/>
      <c r="I190" s="382"/>
    </row>
    <row r="191" spans="2:9" s="16" customFormat="1">
      <c r="B191" s="137" t="s">
        <v>145</v>
      </c>
      <c r="C191" s="143" t="s">
        <v>0</v>
      </c>
      <c r="D191" s="153">
        <v>1</v>
      </c>
      <c r="E191" s="138" t="str">
        <f>DEC2HEX(((D191)*2^15),8)</f>
        <v>00008000</v>
      </c>
      <c r="F191" s="150" t="s">
        <v>153</v>
      </c>
      <c r="G191" s="425"/>
      <c r="H191" s="365"/>
      <c r="I191" s="382"/>
    </row>
    <row r="192" spans="2:9" s="16" customFormat="1">
      <c r="B192" s="139" t="s">
        <v>146</v>
      </c>
      <c r="C192" s="6" t="s">
        <v>0</v>
      </c>
      <c r="D192" s="4">
        <v>0</v>
      </c>
      <c r="E192" s="5" t="str">
        <f>DEC2HEX(((D192)*2^9),8)</f>
        <v>00000000</v>
      </c>
      <c r="F192" s="151" t="s">
        <v>154</v>
      </c>
      <c r="G192" s="425"/>
      <c r="H192" s="365"/>
      <c r="I192" s="382"/>
    </row>
    <row r="193" spans="2:9" s="22" customFormat="1">
      <c r="B193" s="139" t="s">
        <v>147</v>
      </c>
      <c r="C193" s="6" t="s">
        <v>0</v>
      </c>
      <c r="D193" s="4">
        <v>3</v>
      </c>
      <c r="E193" s="5" t="str">
        <f>DEC2HEX(((D193)*2^4),8)</f>
        <v>00000030</v>
      </c>
      <c r="F193" s="151" t="s">
        <v>150</v>
      </c>
      <c r="G193" s="425"/>
      <c r="H193" s="365"/>
      <c r="I193" s="382"/>
    </row>
    <row r="194" spans="2:9" s="16" customFormat="1">
      <c r="B194" s="139" t="s">
        <v>148</v>
      </c>
      <c r="C194" s="6" t="s">
        <v>0</v>
      </c>
      <c r="D194" s="12">
        <v>0</v>
      </c>
      <c r="E194" s="5" t="str">
        <f>DEC2HEX(((D194)*2^3),8)</f>
        <v>00000000</v>
      </c>
      <c r="F194" s="151" t="s">
        <v>151</v>
      </c>
      <c r="G194" s="425"/>
      <c r="H194" s="365"/>
      <c r="I194" s="382"/>
    </row>
    <row r="195" spans="2:9" s="16" customFormat="1" ht="13.5" thickBot="1">
      <c r="B195" s="146" t="s">
        <v>149</v>
      </c>
      <c r="C195" s="147" t="s">
        <v>0</v>
      </c>
      <c r="D195" s="148">
        <v>1</v>
      </c>
      <c r="E195" s="149" t="str">
        <f>DEC2HEX(((D195)*2^0),8)</f>
        <v>00000001</v>
      </c>
      <c r="F195" s="152" t="s">
        <v>285</v>
      </c>
      <c r="G195" s="426"/>
      <c r="H195" s="366"/>
      <c r="I195" s="428"/>
    </row>
    <row r="196" spans="2:9" s="16" customFormat="1" ht="13.5" thickBot="1">
      <c r="E196" s="23"/>
      <c r="G196" s="23"/>
      <c r="H196" s="23"/>
      <c r="I196" s="23"/>
    </row>
    <row r="197" spans="2:9" s="16" customFormat="1" ht="26.25" thickBot="1">
      <c r="B197" s="2" t="s">
        <v>286</v>
      </c>
      <c r="C197" s="2" t="s">
        <v>6</v>
      </c>
      <c r="D197" s="2" t="s">
        <v>8</v>
      </c>
      <c r="E197" s="2" t="s">
        <v>7</v>
      </c>
      <c r="F197" s="7" t="s">
        <v>1</v>
      </c>
      <c r="G197" s="121" t="s">
        <v>3</v>
      </c>
      <c r="H197" s="8" t="s">
        <v>4</v>
      </c>
      <c r="I197" s="8" t="s">
        <v>5</v>
      </c>
    </row>
    <row r="198" spans="2:9" s="16" customFormat="1" ht="3" customHeight="1" thickBot="1">
      <c r="B198" s="101"/>
      <c r="C198" s="101"/>
      <c r="D198" s="101"/>
      <c r="E198" s="101"/>
      <c r="F198" s="102"/>
      <c r="G198" s="103"/>
      <c r="H198" s="103"/>
      <c r="I198" s="103"/>
    </row>
    <row r="199" spans="2:9" s="16" customFormat="1" ht="38.25">
      <c r="B199" s="137" t="s">
        <v>287</v>
      </c>
      <c r="C199" s="143" t="s">
        <v>0</v>
      </c>
      <c r="D199" s="328">
        <f>IF(D76=0, 1, 0)</f>
        <v>1</v>
      </c>
      <c r="E199" s="138" t="str">
        <f>DEC2HEX(((D199)*2^(16+12)),8)</f>
        <v>10000000</v>
      </c>
      <c r="F199" s="150" t="s">
        <v>503</v>
      </c>
      <c r="G199" s="424" t="s">
        <v>143</v>
      </c>
      <c r="H199" s="364" t="s">
        <v>144</v>
      </c>
      <c r="I199" s="427" t="str">
        <f>"0x"&amp;DEC2HEX((HEX2DEC(E199)+HEX2DEC(E200)+HEX2DEC(E201)++HEX2DEC(E202)+HEX2DEC(E203)+HEX2DEC(E204)+HEX2DEC(E205)+HEX2DEC(E206)+HEX2DEC(E207)+HEX2DEC(E208)+HEX2DEC(E209)+HEX2DEC(E210)+HEX2DEC(E211)+HEX2DEC(E212)), 8)</f>
        <v>0x15208030</v>
      </c>
    </row>
    <row r="200" spans="2:9" s="16" customFormat="1" ht="25.5">
      <c r="B200" s="139" t="s">
        <v>288</v>
      </c>
      <c r="C200" s="6" t="s">
        <v>0</v>
      </c>
      <c r="D200" s="251">
        <f>IF(D99=16,0,IF(D99=5,1,IF(D99=6,2,IF(D99=7,3,IF(D99=8,4,IF(D99=10,5,IF(D99=12,6,IF(D99=14,7,0))))))))</f>
        <v>2</v>
      </c>
      <c r="E200" s="258" t="str">
        <f>DEC2HEX(((D200)*2^(16+9)),8)</f>
        <v>04000000</v>
      </c>
      <c r="F200" s="151" t="s">
        <v>289</v>
      </c>
      <c r="G200" s="425"/>
      <c r="H200" s="365"/>
      <c r="I200" s="382"/>
    </row>
    <row r="201" spans="2:9" s="16" customFormat="1">
      <c r="B201" s="139" t="s">
        <v>290</v>
      </c>
      <c r="C201" s="6" t="s">
        <v>0</v>
      </c>
      <c r="D201" s="260">
        <v>1</v>
      </c>
      <c r="E201" s="156" t="str">
        <f>DEC2HEX(((D201)*2^(16+8)),8)</f>
        <v>01000000</v>
      </c>
      <c r="F201" s="151" t="s">
        <v>291</v>
      </c>
      <c r="G201" s="425"/>
      <c r="H201" s="365"/>
      <c r="I201" s="382"/>
    </row>
    <row r="202" spans="2:9" s="16" customFormat="1">
      <c r="B202" s="139" t="s">
        <v>292</v>
      </c>
      <c r="C202" s="6" t="s">
        <v>0</v>
      </c>
      <c r="D202" s="234">
        <v>0</v>
      </c>
      <c r="E202" s="156" t="str">
        <f>DEC2HEX(((D202)*2^(16+3)),8)</f>
        <v>00000000</v>
      </c>
      <c r="F202" s="151" t="s">
        <v>293</v>
      </c>
      <c r="G202" s="425"/>
      <c r="H202" s="365"/>
      <c r="I202" s="382"/>
    </row>
    <row r="203" spans="2:9" s="16" customFormat="1" ht="14.25">
      <c r="B203" s="155" t="s">
        <v>294</v>
      </c>
      <c r="C203" s="6" t="s">
        <v>0</v>
      </c>
      <c r="D203" s="251">
        <f>MOD(INT((D93-4)/4),2)</f>
        <v>0</v>
      </c>
      <c r="E203" s="259" t="str">
        <f>DEC2HEX(((D203)*2^(16+6)),8)</f>
        <v>00000000</v>
      </c>
      <c r="F203" s="429" t="s">
        <v>295</v>
      </c>
      <c r="G203" s="425"/>
      <c r="H203" s="365"/>
      <c r="I203" s="382"/>
    </row>
    <row r="204" spans="2:9" s="16" customFormat="1" ht="14.25">
      <c r="B204" s="155" t="s">
        <v>296</v>
      </c>
      <c r="C204" s="6" t="s">
        <v>0</v>
      </c>
      <c r="D204" s="251">
        <f>MOD(INT((D93-4)/2),2)</f>
        <v>1</v>
      </c>
      <c r="E204" s="259" t="str">
        <f>DEC2HEX(((D204)*2^(16+5)),8)</f>
        <v>00200000</v>
      </c>
      <c r="F204" s="430"/>
      <c r="G204" s="425"/>
      <c r="H204" s="365"/>
      <c r="I204" s="382"/>
    </row>
    <row r="205" spans="2:9" s="16" customFormat="1" ht="14.25">
      <c r="B205" s="155" t="s">
        <v>297</v>
      </c>
      <c r="C205" s="6" t="s">
        <v>0</v>
      </c>
      <c r="D205" s="251">
        <f>MOD(INT((D93-4)),2)</f>
        <v>0</v>
      </c>
      <c r="E205" s="259" t="str">
        <f>DEC2HEX(((D205)*2^(16+4)),8)</f>
        <v>00000000</v>
      </c>
      <c r="F205" s="430"/>
      <c r="G205" s="425"/>
      <c r="H205" s="365"/>
      <c r="I205" s="382"/>
    </row>
    <row r="206" spans="2:9" s="16" customFormat="1" ht="14.25">
      <c r="B206" s="155" t="s">
        <v>298</v>
      </c>
      <c r="C206" s="6" t="s">
        <v>0</v>
      </c>
      <c r="D206" s="251">
        <f>IF(D93&lt;12,0,1)</f>
        <v>0</v>
      </c>
      <c r="E206" s="259" t="str">
        <f>DEC2HEX(((D206)*2^(16+2)),8)</f>
        <v>00000000</v>
      </c>
      <c r="F206" s="431"/>
      <c r="G206" s="425"/>
      <c r="H206" s="365"/>
      <c r="I206" s="382"/>
    </row>
    <row r="207" spans="2:9" s="16" customFormat="1" ht="13.5" thickBot="1">
      <c r="B207" s="146" t="s">
        <v>299</v>
      </c>
      <c r="C207" s="147" t="s">
        <v>0</v>
      </c>
      <c r="D207" s="261">
        <f>(D161)</f>
        <v>0</v>
      </c>
      <c r="E207" s="149" t="str">
        <f>DEC2HEX(((D207)*2^(16+0)),8)</f>
        <v>00000000</v>
      </c>
      <c r="F207" s="152" t="s">
        <v>300</v>
      </c>
      <c r="G207" s="425"/>
      <c r="H207" s="365"/>
      <c r="I207" s="382"/>
    </row>
    <row r="208" spans="2:9" s="16" customFormat="1">
      <c r="B208" s="137" t="s">
        <v>145</v>
      </c>
      <c r="C208" s="143" t="s">
        <v>0</v>
      </c>
      <c r="D208" s="153">
        <v>1</v>
      </c>
      <c r="E208" s="138" t="str">
        <f>DEC2HEX(((D208)*2^15),8)</f>
        <v>00008000</v>
      </c>
      <c r="F208" s="150" t="s">
        <v>153</v>
      </c>
      <c r="G208" s="425"/>
      <c r="H208" s="365"/>
      <c r="I208" s="382"/>
    </row>
    <row r="209" spans="2:9" s="16" customFormat="1">
      <c r="B209" s="139" t="s">
        <v>146</v>
      </c>
      <c r="C209" s="6" t="s">
        <v>0</v>
      </c>
      <c r="D209" s="4">
        <v>0</v>
      </c>
      <c r="E209" s="5" t="str">
        <f>DEC2HEX(((D209)*2^9),8)</f>
        <v>00000000</v>
      </c>
      <c r="F209" s="151" t="s">
        <v>154</v>
      </c>
      <c r="G209" s="425"/>
      <c r="H209" s="365"/>
      <c r="I209" s="382"/>
    </row>
    <row r="210" spans="2:9" s="16" customFormat="1">
      <c r="B210" s="139" t="s">
        <v>147</v>
      </c>
      <c r="C210" s="6" t="s">
        <v>0</v>
      </c>
      <c r="D210" s="4">
        <v>3</v>
      </c>
      <c r="E210" s="5" t="str">
        <f>DEC2HEX(((D210)*2^4),8)</f>
        <v>00000030</v>
      </c>
      <c r="F210" s="151" t="s">
        <v>150</v>
      </c>
      <c r="G210" s="425"/>
      <c r="H210" s="365"/>
      <c r="I210" s="382"/>
    </row>
    <row r="211" spans="2:9" s="16" customFormat="1">
      <c r="B211" s="139" t="s">
        <v>148</v>
      </c>
      <c r="C211" s="6" t="s">
        <v>0</v>
      </c>
      <c r="D211" s="12">
        <v>0</v>
      </c>
      <c r="E211" s="5" t="str">
        <f>DEC2HEX(((D211)*2^3),8)</f>
        <v>00000000</v>
      </c>
      <c r="F211" s="151" t="s">
        <v>151</v>
      </c>
      <c r="G211" s="425"/>
      <c r="H211" s="365"/>
      <c r="I211" s="382"/>
    </row>
    <row r="212" spans="2:9" s="16" customFormat="1" ht="13.5" thickBot="1">
      <c r="B212" s="146" t="s">
        <v>149</v>
      </c>
      <c r="C212" s="147" t="s">
        <v>0</v>
      </c>
      <c r="D212" s="148">
        <v>0</v>
      </c>
      <c r="E212" s="149" t="str">
        <f>DEC2HEX(((D212)*2^0),8)</f>
        <v>00000000</v>
      </c>
      <c r="F212" s="152" t="s">
        <v>301</v>
      </c>
      <c r="G212" s="426"/>
      <c r="H212" s="366"/>
      <c r="I212" s="428"/>
    </row>
    <row r="213" spans="2:9" s="16" customFormat="1" ht="13.5" thickBot="1">
      <c r="E213" s="23"/>
      <c r="G213" s="23"/>
      <c r="H213" s="23"/>
      <c r="I213" s="23"/>
    </row>
    <row r="214" spans="2:9" s="16" customFormat="1" ht="13.5" thickBot="1">
      <c r="B214" s="197" t="s">
        <v>524</v>
      </c>
      <c r="C214" s="317"/>
      <c r="D214" s="317"/>
      <c r="E214" s="318"/>
      <c r="F214" s="319"/>
      <c r="G214" s="23"/>
      <c r="H214" s="23"/>
      <c r="I214" s="23"/>
    </row>
    <row r="215" spans="2:9" s="16" customFormat="1" ht="26.25" thickBot="1">
      <c r="B215" s="2" t="s">
        <v>252</v>
      </c>
      <c r="C215" s="2" t="s">
        <v>6</v>
      </c>
      <c r="D215" s="2" t="s">
        <v>8</v>
      </c>
      <c r="E215" s="2" t="s">
        <v>7</v>
      </c>
      <c r="F215" s="7" t="s">
        <v>1</v>
      </c>
      <c r="G215" s="121" t="s">
        <v>3</v>
      </c>
      <c r="H215" s="8" t="s">
        <v>4</v>
      </c>
      <c r="I215" s="8" t="s">
        <v>5</v>
      </c>
    </row>
    <row r="216" spans="2:9" s="16" customFormat="1" ht="13.5" thickBot="1">
      <c r="B216" s="101"/>
      <c r="C216" s="101"/>
      <c r="D216" s="101"/>
      <c r="E216" s="101"/>
      <c r="F216" s="102"/>
      <c r="G216" s="103"/>
      <c r="H216" s="103"/>
      <c r="I216" s="103"/>
    </row>
    <row r="217" spans="2:9" s="16" customFormat="1" ht="25.5">
      <c r="B217" s="137" t="s">
        <v>253</v>
      </c>
      <c r="C217" s="143" t="s">
        <v>0</v>
      </c>
      <c r="D217" s="154">
        <v>1</v>
      </c>
      <c r="E217" s="138" t="str">
        <f>DEC2HEX(((D217)*2^(16+9)),8)</f>
        <v>02000000</v>
      </c>
      <c r="F217" s="150" t="s">
        <v>254</v>
      </c>
      <c r="G217" s="424" t="s">
        <v>143</v>
      </c>
      <c r="H217" s="364" t="s">
        <v>144</v>
      </c>
      <c r="I217" s="427" t="str">
        <f>"0x"&amp;DEC2HEX((HEX2DEC(E217)+HEX2DEC(E218)+HEX2DEC(E219)+HEX2DEC(E220)+HEX2DEC(E221)+HEX2DEC(E222)+HEX2DEC(E223)+HEX2DEC(E224)+HEX2DEC(E225)), 8)</f>
        <v>0x0200803A</v>
      </c>
    </row>
    <row r="218" spans="2:9" s="16" customFormat="1">
      <c r="B218" s="139" t="s">
        <v>255</v>
      </c>
      <c r="C218" s="6" t="s">
        <v>0</v>
      </c>
      <c r="D218" s="12">
        <v>0</v>
      </c>
      <c r="E218" s="5" t="str">
        <f>DEC2HEX(((D218)*2^(16+7)),8)</f>
        <v>00000000</v>
      </c>
      <c r="F218" s="151" t="s">
        <v>256</v>
      </c>
      <c r="G218" s="425"/>
      <c r="H218" s="365"/>
      <c r="I218" s="382"/>
    </row>
    <row r="219" spans="2:9" s="16" customFormat="1">
      <c r="B219" s="139" t="s">
        <v>257</v>
      </c>
      <c r="C219" s="6" t="s">
        <v>0</v>
      </c>
      <c r="D219" s="12">
        <v>0</v>
      </c>
      <c r="E219" s="5" t="str">
        <f>DEC2HEX(((D219)*2^(16+6)),8)</f>
        <v>00000000</v>
      </c>
      <c r="F219" s="151" t="s">
        <v>258</v>
      </c>
      <c r="G219" s="425"/>
      <c r="H219" s="365"/>
      <c r="I219" s="382"/>
    </row>
    <row r="220" spans="2:9" s="16" customFormat="1" ht="39" thickBot="1">
      <c r="B220" s="146" t="s">
        <v>259</v>
      </c>
      <c r="C220" s="147" t="s">
        <v>0</v>
      </c>
      <c r="D220" s="191">
        <f>(D101)</f>
        <v>5</v>
      </c>
      <c r="E220" s="149" t="str">
        <f>DEC2HEX(((D220-5)*2^(16+3)),8)</f>
        <v>00000000</v>
      </c>
      <c r="F220" s="152" t="s">
        <v>260</v>
      </c>
      <c r="G220" s="425"/>
      <c r="H220" s="365"/>
      <c r="I220" s="382"/>
    </row>
    <row r="221" spans="2:9" s="16" customFormat="1" ht="15.75" customHeight="1">
      <c r="B221" s="137" t="s">
        <v>145</v>
      </c>
      <c r="C221" s="143" t="s">
        <v>0</v>
      </c>
      <c r="D221" s="153">
        <v>1</v>
      </c>
      <c r="E221" s="138" t="str">
        <f>DEC2HEX(((D221)*2^15),8)</f>
        <v>00008000</v>
      </c>
      <c r="F221" s="150" t="s">
        <v>153</v>
      </c>
      <c r="G221" s="425"/>
      <c r="H221" s="365"/>
      <c r="I221" s="382"/>
    </row>
    <row r="222" spans="2:9" s="16" customFormat="1">
      <c r="B222" s="139" t="s">
        <v>146</v>
      </c>
      <c r="C222" s="6" t="s">
        <v>0</v>
      </c>
      <c r="D222" s="4">
        <v>0</v>
      </c>
      <c r="E222" s="5" t="str">
        <f>DEC2HEX(((D222)*2^9),8)</f>
        <v>00000000</v>
      </c>
      <c r="F222" s="151" t="s">
        <v>154</v>
      </c>
      <c r="G222" s="425"/>
      <c r="H222" s="365"/>
      <c r="I222" s="382"/>
    </row>
    <row r="223" spans="2:9" s="16" customFormat="1">
      <c r="B223" s="139" t="s">
        <v>147</v>
      </c>
      <c r="C223" s="6" t="s">
        <v>0</v>
      </c>
      <c r="D223" s="4">
        <v>3</v>
      </c>
      <c r="E223" s="5" t="str">
        <f>DEC2HEX(((D223)*2^4),8)</f>
        <v>00000030</v>
      </c>
      <c r="F223" s="151" t="s">
        <v>150</v>
      </c>
      <c r="G223" s="425"/>
      <c r="H223" s="365"/>
      <c r="I223" s="382"/>
    </row>
    <row r="224" spans="2:9" s="16" customFormat="1">
      <c r="B224" s="139" t="s">
        <v>148</v>
      </c>
      <c r="C224" s="6" t="s">
        <v>0</v>
      </c>
      <c r="D224" s="12">
        <v>1</v>
      </c>
      <c r="E224" s="5" t="str">
        <f>DEC2HEX(((D224)*2^3),8)</f>
        <v>00000008</v>
      </c>
      <c r="F224" s="151" t="s">
        <v>151</v>
      </c>
      <c r="G224" s="425"/>
      <c r="H224" s="365"/>
      <c r="I224" s="382"/>
    </row>
    <row r="225" spans="2:9" s="16" customFormat="1" ht="13.5" thickBot="1">
      <c r="B225" s="146" t="s">
        <v>149</v>
      </c>
      <c r="C225" s="147" t="s">
        <v>0</v>
      </c>
      <c r="D225" s="148">
        <v>2</v>
      </c>
      <c r="E225" s="149" t="str">
        <f>DEC2HEX(((D225)*2^0),8)</f>
        <v>00000002</v>
      </c>
      <c r="F225" s="152" t="s">
        <v>261</v>
      </c>
      <c r="G225" s="426"/>
      <c r="H225" s="366"/>
      <c r="I225" s="428"/>
    </row>
    <row r="226" spans="2:9" s="16" customFormat="1" ht="13.5" thickBot="1">
      <c r="E226" s="23"/>
      <c r="G226" s="23"/>
      <c r="H226" s="23"/>
      <c r="I226" s="23"/>
    </row>
    <row r="227" spans="2:9" s="16" customFormat="1" ht="26.25" thickBot="1">
      <c r="B227" s="2" t="s">
        <v>262</v>
      </c>
      <c r="C227" s="2" t="s">
        <v>6</v>
      </c>
      <c r="D227" s="2" t="s">
        <v>8</v>
      </c>
      <c r="E227" s="2" t="s">
        <v>7</v>
      </c>
      <c r="F227" s="7" t="s">
        <v>1</v>
      </c>
      <c r="G227" s="121" t="s">
        <v>3</v>
      </c>
      <c r="H227" s="8" t="s">
        <v>4</v>
      </c>
      <c r="I227" s="8" t="s">
        <v>5</v>
      </c>
    </row>
    <row r="228" spans="2:9" s="16" customFormat="1" ht="13.5" thickBot="1">
      <c r="B228" s="101"/>
      <c r="C228" s="101"/>
      <c r="D228" s="101"/>
      <c r="E228" s="101"/>
      <c r="F228" s="102"/>
      <c r="G228" s="103"/>
      <c r="H228" s="103"/>
      <c r="I228" s="103"/>
    </row>
    <row r="229" spans="2:9">
      <c r="B229" s="137" t="s">
        <v>263</v>
      </c>
      <c r="C229" s="143" t="s">
        <v>0</v>
      </c>
      <c r="D229" s="153">
        <v>0</v>
      </c>
      <c r="E229" s="138" t="str">
        <f>DEC2HEX(((D229)*2^(16+2)),8)</f>
        <v>00000000</v>
      </c>
      <c r="F229" s="150" t="s">
        <v>264</v>
      </c>
      <c r="G229" s="424" t="s">
        <v>143</v>
      </c>
      <c r="H229" s="364" t="s">
        <v>144</v>
      </c>
      <c r="I229" s="427" t="str">
        <f>"0x"&amp;DEC2HEX((HEX2DEC(E229)+HEX2DEC(E230)+HEX2DEC(E231)+HEX2DEC(E232)+HEX2DEC(E233)+HEX2DEC(E234)+HEX2DEC(E235)), 8)</f>
        <v>0x0000803B</v>
      </c>
    </row>
    <row r="230" spans="2:9" ht="13.5" thickBot="1">
      <c r="B230" s="139" t="s">
        <v>265</v>
      </c>
      <c r="C230" s="6" t="s">
        <v>0</v>
      </c>
      <c r="D230" s="12">
        <v>0</v>
      </c>
      <c r="E230" s="5" t="str">
        <f>DEC2HEX(((D230)*2^(16+0)),8)</f>
        <v>00000000</v>
      </c>
      <c r="F230" s="151" t="s">
        <v>266</v>
      </c>
      <c r="G230" s="425"/>
      <c r="H230" s="365"/>
      <c r="I230" s="382"/>
    </row>
    <row r="231" spans="2:9" ht="12.75" customHeight="1">
      <c r="B231" s="137" t="s">
        <v>145</v>
      </c>
      <c r="C231" s="143" t="s">
        <v>0</v>
      </c>
      <c r="D231" s="153">
        <v>1</v>
      </c>
      <c r="E231" s="138" t="str">
        <f>DEC2HEX(((D231)*2^15),8)</f>
        <v>00008000</v>
      </c>
      <c r="F231" s="150" t="s">
        <v>153</v>
      </c>
      <c r="G231" s="425"/>
      <c r="H231" s="365"/>
      <c r="I231" s="382"/>
    </row>
    <row r="232" spans="2:9">
      <c r="B232" s="139" t="s">
        <v>146</v>
      </c>
      <c r="C232" s="6" t="s">
        <v>0</v>
      </c>
      <c r="D232" s="4">
        <v>0</v>
      </c>
      <c r="E232" s="5" t="str">
        <f>DEC2HEX(((D232)*2^9),8)</f>
        <v>00000000</v>
      </c>
      <c r="F232" s="151" t="s">
        <v>154</v>
      </c>
      <c r="G232" s="425"/>
      <c r="H232" s="365"/>
      <c r="I232" s="382"/>
    </row>
    <row r="233" spans="2:9">
      <c r="B233" s="139" t="s">
        <v>147</v>
      </c>
      <c r="C233" s="6" t="s">
        <v>0</v>
      </c>
      <c r="D233" s="4">
        <v>3</v>
      </c>
      <c r="E233" s="5" t="str">
        <f>DEC2HEX(((D233)*2^4),8)</f>
        <v>00000030</v>
      </c>
      <c r="F233" s="151" t="s">
        <v>150</v>
      </c>
      <c r="G233" s="425"/>
      <c r="H233" s="365"/>
      <c r="I233" s="382"/>
    </row>
    <row r="234" spans="2:9">
      <c r="B234" s="139" t="s">
        <v>148</v>
      </c>
      <c r="C234" s="6" t="s">
        <v>0</v>
      </c>
      <c r="D234" s="12">
        <v>1</v>
      </c>
      <c r="E234" s="5" t="str">
        <f>DEC2HEX(((D234)*2^3),8)</f>
        <v>00000008</v>
      </c>
      <c r="F234" s="151" t="s">
        <v>151</v>
      </c>
      <c r="G234" s="425"/>
      <c r="H234" s="365"/>
      <c r="I234" s="382"/>
    </row>
    <row r="235" spans="2:9" ht="13.5" thickBot="1">
      <c r="B235" s="146" t="s">
        <v>149</v>
      </c>
      <c r="C235" s="147" t="s">
        <v>0</v>
      </c>
      <c r="D235" s="148">
        <v>3</v>
      </c>
      <c r="E235" s="149" t="str">
        <f>DEC2HEX(((D235)*2^0),8)</f>
        <v>00000003</v>
      </c>
      <c r="F235" s="152" t="s">
        <v>267</v>
      </c>
      <c r="G235" s="426"/>
      <c r="H235" s="366"/>
      <c r="I235" s="428"/>
    </row>
    <row r="236" spans="2:9" ht="13.5" thickBot="1">
      <c r="B236" s="16"/>
      <c r="C236" s="16"/>
      <c r="D236" s="16"/>
      <c r="E236" s="23"/>
      <c r="F236" s="16"/>
      <c r="G236" s="23"/>
      <c r="H236" s="23"/>
      <c r="I236" s="23"/>
    </row>
    <row r="237" spans="2:9" ht="26.25" thickBot="1">
      <c r="B237" s="2" t="s">
        <v>268</v>
      </c>
      <c r="C237" s="2" t="s">
        <v>6</v>
      </c>
      <c r="D237" s="2" t="s">
        <v>8</v>
      </c>
      <c r="E237" s="2" t="s">
        <v>7</v>
      </c>
      <c r="F237" s="7" t="s">
        <v>1</v>
      </c>
      <c r="G237" s="121" t="s">
        <v>3</v>
      </c>
      <c r="H237" s="8" t="s">
        <v>4</v>
      </c>
      <c r="I237" s="8" t="s">
        <v>5</v>
      </c>
    </row>
    <row r="238" spans="2:9" ht="13.5" thickBot="1">
      <c r="B238" s="101"/>
      <c r="C238" s="101"/>
      <c r="D238" s="101"/>
      <c r="E238" s="101"/>
      <c r="F238" s="102"/>
      <c r="G238" s="103"/>
      <c r="H238" s="103"/>
      <c r="I238" s="103"/>
    </row>
    <row r="239" spans="2:9">
      <c r="B239" s="137" t="s">
        <v>269</v>
      </c>
      <c r="C239" s="143" t="s">
        <v>0</v>
      </c>
      <c r="D239" s="153">
        <v>0</v>
      </c>
      <c r="E239" s="138" t="str">
        <f>DEC2HEX(((D239)*2^(16+12)),8)</f>
        <v>00000000</v>
      </c>
      <c r="F239" s="150" t="s">
        <v>266</v>
      </c>
      <c r="G239" s="424" t="s">
        <v>143</v>
      </c>
      <c r="H239" s="364" t="s">
        <v>144</v>
      </c>
      <c r="I239" s="427" t="str">
        <f>"0x"&amp;DEC2HEX((HEX2DEC(E239)+HEX2DEC(E240)+HEX2DEC(E241)+HEX2DEC(E242)++HEX2DEC(E243)+HEX2DEC(E244)+HEX2DEC(E245)+HEX2DEC(E246)+HEX2DEC(E247)+HEX2DEC(E248)+HEX2DEC(E249)+HEX2DEC(E250)+HEX2DEC(E251)+HEX2DEC(E252)+HEX2DEC(E253)), 8)</f>
        <v>0x00048039</v>
      </c>
    </row>
    <row r="240" spans="2:9" ht="25.5">
      <c r="B240" s="139" t="s">
        <v>270</v>
      </c>
      <c r="C240" s="6" t="s">
        <v>0</v>
      </c>
      <c r="D240" s="12">
        <v>0</v>
      </c>
      <c r="E240" s="5" t="str">
        <f>DEC2HEX(((D240)*2^(16+11)),8)</f>
        <v>00000000</v>
      </c>
      <c r="F240" s="151" t="s">
        <v>271</v>
      </c>
      <c r="G240" s="425"/>
      <c r="H240" s="365"/>
      <c r="I240" s="382"/>
    </row>
    <row r="241" spans="2:9">
      <c r="B241" s="139" t="s">
        <v>272</v>
      </c>
      <c r="C241" s="6" t="s">
        <v>0</v>
      </c>
      <c r="D241" s="228">
        <v>0</v>
      </c>
      <c r="E241" s="5" t="str">
        <f>DEC2HEX(((D241)*2^(16+9)),8)</f>
        <v>00000000</v>
      </c>
      <c r="F241" s="429" t="s">
        <v>302</v>
      </c>
      <c r="G241" s="425"/>
      <c r="H241" s="365"/>
      <c r="I241" s="382"/>
    </row>
    <row r="242" spans="2:9">
      <c r="B242" s="139" t="s">
        <v>274</v>
      </c>
      <c r="C242" s="6" t="s">
        <v>0</v>
      </c>
      <c r="D242" s="233">
        <v>0</v>
      </c>
      <c r="E242" s="156" t="str">
        <f>DEC2HEX(((D242)*2^(16+6)),8)</f>
        <v>00000000</v>
      </c>
      <c r="F242" s="430"/>
      <c r="G242" s="425"/>
      <c r="H242" s="365"/>
      <c r="I242" s="382"/>
    </row>
    <row r="243" spans="2:9">
      <c r="B243" s="139" t="s">
        <v>275</v>
      </c>
      <c r="C243" s="6" t="s">
        <v>0</v>
      </c>
      <c r="D243" s="233">
        <v>1</v>
      </c>
      <c r="E243" s="156" t="str">
        <f>DEC2HEX(((D243)*2^(16+2)),8)</f>
        <v>00040000</v>
      </c>
      <c r="F243" s="431"/>
      <c r="G243" s="425"/>
      <c r="H243" s="365"/>
      <c r="I243" s="382"/>
    </row>
    <row r="244" spans="2:9">
      <c r="B244" s="155" t="s">
        <v>276</v>
      </c>
      <c r="C244" s="6" t="s">
        <v>0</v>
      </c>
      <c r="D244" s="234">
        <v>1</v>
      </c>
      <c r="E244" s="156" t="str">
        <f>DEC2HEX(((D245)*2^(16+7)),8)</f>
        <v>00000000</v>
      </c>
      <c r="F244" s="214" t="s">
        <v>277</v>
      </c>
      <c r="G244" s="425"/>
      <c r="H244" s="365"/>
      <c r="I244" s="382"/>
    </row>
    <row r="245" spans="2:9">
      <c r="B245" s="155" t="s">
        <v>278</v>
      </c>
      <c r="C245" s="6" t="s">
        <v>0</v>
      </c>
      <c r="D245" s="233">
        <v>0</v>
      </c>
      <c r="E245" s="156" t="str">
        <f>DEC2HEX(((D245)*2^(16+5)),8)</f>
        <v>00000000</v>
      </c>
      <c r="F245" s="429" t="s">
        <v>303</v>
      </c>
      <c r="G245" s="425"/>
      <c r="H245" s="365"/>
      <c r="I245" s="382"/>
    </row>
    <row r="246" spans="2:9">
      <c r="B246" s="155" t="s">
        <v>280</v>
      </c>
      <c r="C246" s="6" t="s">
        <v>0</v>
      </c>
      <c r="D246" s="233">
        <v>0</v>
      </c>
      <c r="E246" s="156" t="str">
        <f>DEC2HEX(((D246)*2^(16+1)),8)</f>
        <v>00000000</v>
      </c>
      <c r="F246" s="431"/>
      <c r="G246" s="425"/>
      <c r="H246" s="365"/>
      <c r="I246" s="382"/>
    </row>
    <row r="247" spans="2:9">
      <c r="B247" s="155" t="s">
        <v>281</v>
      </c>
      <c r="C247" s="6" t="s">
        <v>0</v>
      </c>
      <c r="D247" s="234">
        <v>0</v>
      </c>
      <c r="E247" s="156" t="str">
        <f>DEC2HEX(((D247)*2^(16+3)),8)</f>
        <v>00000000</v>
      </c>
      <c r="F247" s="214" t="s">
        <v>282</v>
      </c>
      <c r="G247" s="425"/>
      <c r="H247" s="365"/>
      <c r="I247" s="382"/>
    </row>
    <row r="248" spans="2:9" ht="13.5" thickBot="1">
      <c r="B248" s="146" t="s">
        <v>283</v>
      </c>
      <c r="C248" s="147" t="s">
        <v>0</v>
      </c>
      <c r="D248" s="235">
        <v>0</v>
      </c>
      <c r="E248" s="149" t="str">
        <f>DEC2HEX(((D248)*2^(16+0)),8)</f>
        <v>00000000</v>
      </c>
      <c r="F248" s="152" t="s">
        <v>284</v>
      </c>
      <c r="G248" s="425"/>
      <c r="H248" s="365"/>
      <c r="I248" s="382"/>
    </row>
    <row r="249" spans="2:9">
      <c r="B249" s="137" t="s">
        <v>145</v>
      </c>
      <c r="C249" s="143" t="s">
        <v>0</v>
      </c>
      <c r="D249" s="153">
        <v>1</v>
      </c>
      <c r="E249" s="138" t="str">
        <f>DEC2HEX(((D249)*2^15),8)</f>
        <v>00008000</v>
      </c>
      <c r="F249" s="150" t="s">
        <v>153</v>
      </c>
      <c r="G249" s="425"/>
      <c r="H249" s="365"/>
      <c r="I249" s="382"/>
    </row>
    <row r="250" spans="2:9">
      <c r="B250" s="139" t="s">
        <v>146</v>
      </c>
      <c r="C250" s="6" t="s">
        <v>0</v>
      </c>
      <c r="D250" s="4">
        <v>0</v>
      </c>
      <c r="E250" s="5" t="str">
        <f>DEC2HEX(((D250)*2^9),8)</f>
        <v>00000000</v>
      </c>
      <c r="F250" s="151" t="s">
        <v>154</v>
      </c>
      <c r="G250" s="425"/>
      <c r="H250" s="365"/>
      <c r="I250" s="382"/>
    </row>
    <row r="251" spans="2:9">
      <c r="B251" s="139" t="s">
        <v>147</v>
      </c>
      <c r="C251" s="6" t="s">
        <v>0</v>
      </c>
      <c r="D251" s="4">
        <v>3</v>
      </c>
      <c r="E251" s="5" t="str">
        <f>DEC2HEX(((D251)*2^4),8)</f>
        <v>00000030</v>
      </c>
      <c r="F251" s="151" t="s">
        <v>150</v>
      </c>
      <c r="G251" s="425"/>
      <c r="H251" s="365"/>
      <c r="I251" s="382"/>
    </row>
    <row r="252" spans="2:9">
      <c r="B252" s="139" t="s">
        <v>148</v>
      </c>
      <c r="C252" s="6" t="s">
        <v>0</v>
      </c>
      <c r="D252" s="12">
        <v>1</v>
      </c>
      <c r="E252" s="5" t="str">
        <f>DEC2HEX(((D252)*2^3),8)</f>
        <v>00000008</v>
      </c>
      <c r="F252" s="151" t="s">
        <v>151</v>
      </c>
      <c r="G252" s="425"/>
      <c r="H252" s="365"/>
      <c r="I252" s="382"/>
    </row>
    <row r="253" spans="2:9" ht="13.5" thickBot="1">
      <c r="B253" s="146" t="s">
        <v>149</v>
      </c>
      <c r="C253" s="147" t="s">
        <v>0</v>
      </c>
      <c r="D253" s="148">
        <v>1</v>
      </c>
      <c r="E253" s="149" t="str">
        <f>DEC2HEX(((D253)*2^0),8)</f>
        <v>00000001</v>
      </c>
      <c r="F253" s="152" t="s">
        <v>285</v>
      </c>
      <c r="G253" s="426"/>
      <c r="H253" s="366"/>
      <c r="I253" s="428"/>
    </row>
    <row r="254" spans="2:9" ht="13.5" thickBot="1">
      <c r="B254" s="16"/>
      <c r="C254" s="16"/>
      <c r="D254" s="16"/>
      <c r="E254" s="23"/>
      <c r="F254" s="16"/>
      <c r="G254" s="23"/>
      <c r="H254" s="23"/>
      <c r="I254" s="23"/>
    </row>
    <row r="255" spans="2:9" ht="26.25" thickBot="1">
      <c r="B255" s="2" t="s">
        <v>286</v>
      </c>
      <c r="C255" s="2" t="s">
        <v>6</v>
      </c>
      <c r="D255" s="2" t="s">
        <v>8</v>
      </c>
      <c r="E255" s="2" t="s">
        <v>7</v>
      </c>
      <c r="F255" s="7" t="s">
        <v>1</v>
      </c>
      <c r="G255" s="121" t="s">
        <v>3</v>
      </c>
      <c r="H255" s="8" t="s">
        <v>4</v>
      </c>
      <c r="I255" s="8" t="s">
        <v>5</v>
      </c>
    </row>
    <row r="256" spans="2:9" ht="13.5" thickBot="1">
      <c r="B256" s="101"/>
      <c r="C256" s="101"/>
      <c r="D256" s="101"/>
      <c r="E256" s="101"/>
      <c r="F256" s="102"/>
      <c r="G256" s="103"/>
      <c r="H256" s="103"/>
      <c r="I256" s="103"/>
    </row>
    <row r="257" spans="2:9" ht="38.25">
      <c r="B257" s="137" t="s">
        <v>287</v>
      </c>
      <c r="C257" s="143" t="s">
        <v>0</v>
      </c>
      <c r="D257" s="328">
        <f>IF(D76=0, 1, 0)</f>
        <v>1</v>
      </c>
      <c r="E257" s="138" t="str">
        <f>DEC2HEX(((D257)*2^(16+12)),8)</f>
        <v>10000000</v>
      </c>
      <c r="F257" s="150" t="s">
        <v>503</v>
      </c>
      <c r="G257" s="424" t="s">
        <v>143</v>
      </c>
      <c r="H257" s="364" t="s">
        <v>144</v>
      </c>
      <c r="I257" s="427" t="str">
        <f>"0x"&amp;DEC2HEX((HEX2DEC(E257)+HEX2DEC(E258)+HEX2DEC(E259)++HEX2DEC(E260)+HEX2DEC(E261)+HEX2DEC(E262)+HEX2DEC(E263)+HEX2DEC(E264)+HEX2DEC(E265)+HEX2DEC(E266)+HEX2DEC(E267)+HEX2DEC(E268)+HEX2DEC(E269)+HEX2DEC(E270)), 8)</f>
        <v>0x15208038</v>
      </c>
    </row>
    <row r="258" spans="2:9" ht="25.5">
      <c r="B258" s="139" t="s">
        <v>288</v>
      </c>
      <c r="C258" s="6" t="s">
        <v>0</v>
      </c>
      <c r="D258" s="251">
        <f>IF(D99=16,0,IF(D99=5,1,IF(D99=6,2,IF(D99=7,3,IF(D99=8,4,IF(D99=10,5,IF(D99=12,6,IF(D99=14,7,0))))))))</f>
        <v>2</v>
      </c>
      <c r="E258" s="258" t="str">
        <f>DEC2HEX(((D258)*2^(16+9)),8)</f>
        <v>04000000</v>
      </c>
      <c r="F258" s="151" t="s">
        <v>289</v>
      </c>
      <c r="G258" s="425"/>
      <c r="H258" s="365"/>
      <c r="I258" s="382"/>
    </row>
    <row r="259" spans="2:9">
      <c r="B259" s="139" t="s">
        <v>290</v>
      </c>
      <c r="C259" s="6" t="s">
        <v>0</v>
      </c>
      <c r="D259" s="260">
        <v>1</v>
      </c>
      <c r="E259" s="156" t="str">
        <f>DEC2HEX(((D259)*2^(16+8)),8)</f>
        <v>01000000</v>
      </c>
      <c r="F259" s="151" t="s">
        <v>291</v>
      </c>
      <c r="G259" s="425"/>
      <c r="H259" s="365"/>
      <c r="I259" s="382"/>
    </row>
    <row r="260" spans="2:9">
      <c r="B260" s="139" t="s">
        <v>292</v>
      </c>
      <c r="C260" s="6" t="s">
        <v>0</v>
      </c>
      <c r="D260" s="234">
        <v>0</v>
      </c>
      <c r="E260" s="156" t="str">
        <f>DEC2HEX(((D260)*2^(16+3)),8)</f>
        <v>00000000</v>
      </c>
      <c r="F260" s="151" t="s">
        <v>293</v>
      </c>
      <c r="G260" s="425"/>
      <c r="H260" s="365"/>
      <c r="I260" s="382"/>
    </row>
    <row r="261" spans="2:9" ht="14.25">
      <c r="B261" s="155" t="s">
        <v>294</v>
      </c>
      <c r="C261" s="6" t="s">
        <v>0</v>
      </c>
      <c r="D261" s="251">
        <f>MOD(INT((D93-4)/4),2)</f>
        <v>0</v>
      </c>
      <c r="E261" s="259" t="str">
        <f>DEC2HEX(((D261)*2^(16+6)),8)</f>
        <v>00000000</v>
      </c>
      <c r="F261" s="429" t="s">
        <v>295</v>
      </c>
      <c r="G261" s="425"/>
      <c r="H261" s="365"/>
      <c r="I261" s="382"/>
    </row>
    <row r="262" spans="2:9" ht="14.25">
      <c r="B262" s="155" t="s">
        <v>296</v>
      </c>
      <c r="C262" s="6" t="s">
        <v>0</v>
      </c>
      <c r="D262" s="251">
        <f>MOD(INT((D93-4)/2),2)</f>
        <v>1</v>
      </c>
      <c r="E262" s="259" t="str">
        <f>DEC2HEX(((D262)*2^(16+5)),8)</f>
        <v>00200000</v>
      </c>
      <c r="F262" s="430"/>
      <c r="G262" s="425"/>
      <c r="H262" s="365"/>
      <c r="I262" s="382"/>
    </row>
    <row r="263" spans="2:9" ht="14.25">
      <c r="B263" s="155" t="s">
        <v>297</v>
      </c>
      <c r="C263" s="6" t="s">
        <v>0</v>
      </c>
      <c r="D263" s="251">
        <f>MOD(INT((D93-4)),2)</f>
        <v>0</v>
      </c>
      <c r="E263" s="259" t="str">
        <f>DEC2HEX(((D263)*2^(16+4)),8)</f>
        <v>00000000</v>
      </c>
      <c r="F263" s="430"/>
      <c r="G263" s="425"/>
      <c r="H263" s="365"/>
      <c r="I263" s="382"/>
    </row>
    <row r="264" spans="2:9" ht="14.25">
      <c r="B264" s="155" t="s">
        <v>298</v>
      </c>
      <c r="C264" s="6" t="s">
        <v>0</v>
      </c>
      <c r="D264" s="251">
        <f>IF(D93&lt;12,0,1)</f>
        <v>0</v>
      </c>
      <c r="E264" s="259" t="str">
        <f>DEC2HEX(((D264)*2^(16+2)),8)</f>
        <v>00000000</v>
      </c>
      <c r="F264" s="431"/>
      <c r="G264" s="425"/>
      <c r="H264" s="365"/>
      <c r="I264" s="382"/>
    </row>
    <row r="265" spans="2:9" ht="13.5" thickBot="1">
      <c r="B265" s="146" t="s">
        <v>299</v>
      </c>
      <c r="C265" s="147" t="s">
        <v>0</v>
      </c>
      <c r="D265" s="261">
        <f>(D219)</f>
        <v>0</v>
      </c>
      <c r="E265" s="149" t="str">
        <f>DEC2HEX(((D265)*2^(16+0)),8)</f>
        <v>00000000</v>
      </c>
      <c r="F265" s="152" t="s">
        <v>300</v>
      </c>
      <c r="G265" s="425"/>
      <c r="H265" s="365"/>
      <c r="I265" s="382"/>
    </row>
    <row r="266" spans="2:9">
      <c r="B266" s="137" t="s">
        <v>145</v>
      </c>
      <c r="C266" s="143" t="s">
        <v>0</v>
      </c>
      <c r="D266" s="153">
        <v>1</v>
      </c>
      <c r="E266" s="138" t="str">
        <f>DEC2HEX(((D266)*2^15),8)</f>
        <v>00008000</v>
      </c>
      <c r="F266" s="150" t="s">
        <v>153</v>
      </c>
      <c r="G266" s="425"/>
      <c r="H266" s="365"/>
      <c r="I266" s="382"/>
    </row>
    <row r="267" spans="2:9">
      <c r="B267" s="139" t="s">
        <v>146</v>
      </c>
      <c r="C267" s="6" t="s">
        <v>0</v>
      </c>
      <c r="D267" s="4">
        <v>0</v>
      </c>
      <c r="E267" s="5" t="str">
        <f>DEC2HEX(((D267)*2^9),8)</f>
        <v>00000000</v>
      </c>
      <c r="F267" s="151" t="s">
        <v>154</v>
      </c>
      <c r="G267" s="425"/>
      <c r="H267" s="365"/>
      <c r="I267" s="382"/>
    </row>
    <row r="268" spans="2:9">
      <c r="B268" s="139" t="s">
        <v>147</v>
      </c>
      <c r="C268" s="6" t="s">
        <v>0</v>
      </c>
      <c r="D268" s="4">
        <v>3</v>
      </c>
      <c r="E268" s="5" t="str">
        <f>DEC2HEX(((D268)*2^4),8)</f>
        <v>00000030</v>
      </c>
      <c r="F268" s="151" t="s">
        <v>150</v>
      </c>
      <c r="G268" s="425"/>
      <c r="H268" s="365"/>
      <c r="I268" s="382"/>
    </row>
    <row r="269" spans="2:9">
      <c r="B269" s="139" t="s">
        <v>148</v>
      </c>
      <c r="C269" s="6" t="s">
        <v>0</v>
      </c>
      <c r="D269" s="12">
        <v>1</v>
      </c>
      <c r="E269" s="5" t="str">
        <f>DEC2HEX(((D269)*2^3),8)</f>
        <v>00000008</v>
      </c>
      <c r="F269" s="151" t="s">
        <v>151</v>
      </c>
      <c r="G269" s="425"/>
      <c r="H269" s="365"/>
      <c r="I269" s="382"/>
    </row>
    <row r="270" spans="2:9" ht="13.5" thickBot="1">
      <c r="B270" s="146" t="s">
        <v>149</v>
      </c>
      <c r="C270" s="147" t="s">
        <v>0</v>
      </c>
      <c r="D270" s="148">
        <v>0</v>
      </c>
      <c r="E270" s="149" t="str">
        <f>DEC2HEX(((D270)*2^0),8)</f>
        <v>00000000</v>
      </c>
      <c r="F270" s="152" t="s">
        <v>301</v>
      </c>
      <c r="G270" s="426"/>
      <c r="H270" s="366"/>
      <c r="I270" s="428"/>
    </row>
    <row r="272" spans="2:9" ht="13.5" thickBot="1"/>
    <row r="273" spans="5:9" ht="26.25" thickBot="1">
      <c r="G273" s="121" t="s">
        <v>3</v>
      </c>
      <c r="H273" s="8" t="s">
        <v>4</v>
      </c>
      <c r="I273" s="8" t="s">
        <v>5</v>
      </c>
    </row>
    <row r="274" spans="5:9" ht="15">
      <c r="E274" s="461" t="s">
        <v>236</v>
      </c>
      <c r="F274" s="461"/>
      <c r="G274" s="236" t="s">
        <v>304</v>
      </c>
      <c r="H274" s="269" t="s">
        <v>305</v>
      </c>
      <c r="I274" s="270" t="s">
        <v>481</v>
      </c>
    </row>
    <row r="275" spans="5:9" ht="15">
      <c r="E275" s="461"/>
      <c r="F275" s="461"/>
      <c r="G275" s="12"/>
      <c r="H275" s="287"/>
      <c r="I275" s="288"/>
    </row>
    <row r="276" spans="5:9" ht="15">
      <c r="E276" s="461"/>
      <c r="F276" s="461"/>
      <c r="G276" s="4"/>
      <c r="H276" s="271"/>
      <c r="I276" s="273"/>
    </row>
    <row r="277" spans="5:9" ht="15">
      <c r="E277" s="461"/>
      <c r="F277" s="461"/>
      <c r="G277" s="4"/>
      <c r="H277" s="271"/>
      <c r="I277" s="273"/>
    </row>
    <row r="278" spans="5:9" ht="15">
      <c r="E278" s="461"/>
      <c r="F278" s="461"/>
      <c r="G278" s="237" t="s">
        <v>234</v>
      </c>
      <c r="H278" s="271" t="s">
        <v>237</v>
      </c>
      <c r="I278" s="272" t="s">
        <v>482</v>
      </c>
    </row>
    <row r="279" spans="5:9" ht="15">
      <c r="E279" s="461"/>
      <c r="F279" s="461"/>
      <c r="G279" s="238"/>
      <c r="H279" s="271"/>
      <c r="I279" s="273"/>
    </row>
    <row r="280" spans="5:9" ht="15">
      <c r="E280" s="461"/>
      <c r="F280" s="461"/>
      <c r="G280" s="239" t="s">
        <v>235</v>
      </c>
      <c r="H280" s="271" t="s">
        <v>238</v>
      </c>
      <c r="I280" s="272" t="s">
        <v>483</v>
      </c>
    </row>
    <row r="281" spans="5:9" ht="15">
      <c r="E281" s="461"/>
      <c r="F281" s="461"/>
      <c r="G281" s="238"/>
      <c r="H281" s="271"/>
      <c r="I281" s="273"/>
    </row>
    <row r="282" spans="5:9" ht="28.5" customHeight="1">
      <c r="E282" s="334" t="s">
        <v>306</v>
      </c>
      <c r="F282" s="335"/>
      <c r="G282" s="239" t="s">
        <v>307</v>
      </c>
      <c r="H282" s="271" t="s">
        <v>308</v>
      </c>
      <c r="I282" s="272" t="s">
        <v>11</v>
      </c>
    </row>
  </sheetData>
  <mergeCells count="123">
    <mergeCell ref="C4:G4"/>
    <mergeCell ref="E274:F281"/>
    <mergeCell ref="G143:G150"/>
    <mergeCell ref="H143:H150"/>
    <mergeCell ref="I143:I150"/>
    <mergeCell ref="B153:I153"/>
    <mergeCell ref="B154:I154"/>
    <mergeCell ref="G217:G225"/>
    <mergeCell ref="H217:H225"/>
    <mergeCell ref="I217:I225"/>
    <mergeCell ref="G229:G235"/>
    <mergeCell ref="H229:H235"/>
    <mergeCell ref="I229:I235"/>
    <mergeCell ref="G239:G253"/>
    <mergeCell ref="H239:H253"/>
    <mergeCell ref="I239:I253"/>
    <mergeCell ref="G181:G195"/>
    <mergeCell ref="H181:H195"/>
    <mergeCell ref="G171:G177"/>
    <mergeCell ref="H171:H177"/>
    <mergeCell ref="I171:I177"/>
    <mergeCell ref="H102:H105"/>
    <mergeCell ref="F241:F243"/>
    <mergeCell ref="H48:H50"/>
    <mergeCell ref="I94:I101"/>
    <mergeCell ref="B41:B43"/>
    <mergeCell ref="F245:F246"/>
    <mergeCell ref="H44:H47"/>
    <mergeCell ref="H55:H57"/>
    <mergeCell ref="B59:B60"/>
    <mergeCell ref="C59:C60"/>
    <mergeCell ref="D59:D60"/>
    <mergeCell ref="I112:I114"/>
    <mergeCell ref="H94:H101"/>
    <mergeCell ref="E59:E60"/>
    <mergeCell ref="F59:F60"/>
    <mergeCell ref="G59:G60"/>
    <mergeCell ref="I59:I60"/>
    <mergeCell ref="G119:G131"/>
    <mergeCell ref="H119:H131"/>
    <mergeCell ref="I119:I131"/>
    <mergeCell ref="B54:B57"/>
    <mergeCell ref="G257:G270"/>
    <mergeCell ref="H257:H270"/>
    <mergeCell ref="I257:I270"/>
    <mergeCell ref="F261:F264"/>
    <mergeCell ref="H88:H93"/>
    <mergeCell ref="H82:H87"/>
    <mergeCell ref="G106:G111"/>
    <mergeCell ref="H106:H111"/>
    <mergeCell ref="I106:I111"/>
    <mergeCell ref="I181:I195"/>
    <mergeCell ref="F183:F185"/>
    <mergeCell ref="F187:F188"/>
    <mergeCell ref="G199:G212"/>
    <mergeCell ref="H199:H212"/>
    <mergeCell ref="I199:I212"/>
    <mergeCell ref="F203:F206"/>
    <mergeCell ref="I82:I87"/>
    <mergeCell ref="I88:I93"/>
    <mergeCell ref="H112:H114"/>
    <mergeCell ref="G159:G167"/>
    <mergeCell ref="H159:H167"/>
    <mergeCell ref="I159:I167"/>
    <mergeCell ref="I102:I105"/>
    <mergeCell ref="J79:J81"/>
    <mergeCell ref="J75:J78"/>
    <mergeCell ref="B6:E13"/>
    <mergeCell ref="C19:D19"/>
    <mergeCell ref="G112:G114"/>
    <mergeCell ref="G82:G87"/>
    <mergeCell ref="G88:G93"/>
    <mergeCell ref="G94:G101"/>
    <mergeCell ref="C16:D16"/>
    <mergeCell ref="C18:D18"/>
    <mergeCell ref="G102:G105"/>
    <mergeCell ref="F15:G15"/>
    <mergeCell ref="F6:F7"/>
    <mergeCell ref="F12:F13"/>
    <mergeCell ref="F8:F9"/>
    <mergeCell ref="G6:G7"/>
    <mergeCell ref="G8:G9"/>
    <mergeCell ref="G12:G13"/>
    <mergeCell ref="G37:G38"/>
    <mergeCell ref="G41:G43"/>
    <mergeCell ref="G66:G71"/>
    <mergeCell ref="G44:G50"/>
    <mergeCell ref="G61:G62"/>
    <mergeCell ref="G39:G40"/>
    <mergeCell ref="C22:D22"/>
    <mergeCell ref="H37:H38"/>
    <mergeCell ref="I37:I38"/>
    <mergeCell ref="I66:I71"/>
    <mergeCell ref="H66:H71"/>
    <mergeCell ref="I41:I43"/>
    <mergeCell ref="I61:I62"/>
    <mergeCell ref="I39:I40"/>
    <mergeCell ref="I79:I81"/>
    <mergeCell ref="C28:D28"/>
    <mergeCell ref="C17:D17"/>
    <mergeCell ref="E282:F282"/>
    <mergeCell ref="F16:G28"/>
    <mergeCell ref="C21:D21"/>
    <mergeCell ref="G54:G57"/>
    <mergeCell ref="I54:I57"/>
    <mergeCell ref="G75:G81"/>
    <mergeCell ref="H75:H81"/>
    <mergeCell ref="I75:I78"/>
    <mergeCell ref="C20:D20"/>
    <mergeCell ref="C23:D23"/>
    <mergeCell ref="C24:D24"/>
    <mergeCell ref="C25:D25"/>
    <mergeCell ref="C26:D26"/>
    <mergeCell ref="C27:D27"/>
    <mergeCell ref="H41:H43"/>
    <mergeCell ref="I44:I50"/>
    <mergeCell ref="B31:D31"/>
    <mergeCell ref="B30:D30"/>
    <mergeCell ref="B44:B50"/>
    <mergeCell ref="B61:B62"/>
    <mergeCell ref="B39:B40"/>
    <mergeCell ref="B37:B38"/>
    <mergeCell ref="B29:D29"/>
  </mergeCells>
  <phoneticPr fontId="1" type="noConversion"/>
  <dataValidations count="3">
    <dataValidation type="list" allowBlank="1" showInputMessage="1" showErrorMessage="1" sqref="D62 D40 D50:D52 D57 D43 D38 D59" xr:uid="{00000000-0002-0000-0200-000000000000}">
      <formula1>$AJ$6:$AJ$13</formula1>
    </dataValidation>
    <dataValidation type="list" allowBlank="1" showInputMessage="1" showErrorMessage="1" sqref="C16:D16" xr:uid="{3326C593-C377-4F91-9028-DA4216239B10}">
      <formula1>"MX6UL, MX6ULL, MX6ULZ"</formula1>
    </dataValidation>
    <dataValidation type="list" allowBlank="1" showInputMessage="1" showErrorMessage="1" sqref="C21:D21" xr:uid="{19C70C8F-A15B-457B-A60D-68BE75061BCB}">
      <formula1>"1,2"</formula1>
    </dataValidation>
  </dataValidations>
  <pageMargins left="0.75" right="0.75" top="1" bottom="1" header="0.5" footer="0.5"/>
  <pageSetup scale="81" orientation="landscape" r:id="rId1"/>
  <headerFooter alignWithMargins="0"/>
  <ignoredErrors>
    <ignoredError sqref="E62 E36 E38 E43 E58"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9"/>
  <sheetViews>
    <sheetView topLeftCell="A98" workbookViewId="0">
      <selection activeCell="A110" sqref="A110"/>
    </sheetView>
  </sheetViews>
  <sheetFormatPr defaultRowHeight="13.5"/>
  <cols>
    <col min="1" max="1" width="46.85546875" style="284" customWidth="1"/>
    <col min="2" max="2" width="16.7109375" style="284" bestFit="1" customWidth="1"/>
    <col min="3" max="3" width="12.42578125" style="284" bestFit="1" customWidth="1"/>
    <col min="4" max="4" width="118" style="284" customWidth="1"/>
    <col min="5" max="5" width="25.85546875" style="1" hidden="1" customWidth="1"/>
    <col min="6" max="6" width="23.85546875" style="1" hidden="1" customWidth="1"/>
    <col min="7" max="7" width="16.42578125" customWidth="1"/>
    <col min="8" max="8" width="14.42578125" customWidth="1"/>
    <col min="9" max="9" width="16.7109375" customWidth="1"/>
    <col min="10" max="10" width="16.28515625" customWidth="1"/>
  </cols>
  <sheetData>
    <row r="1" spans="1:6">
      <c r="A1" s="284" t="s">
        <v>414</v>
      </c>
    </row>
    <row r="2" spans="1:6">
      <c r="A2" s="281" t="str">
        <f>"#init script for i." &amp; REGISTER_CONFIGURATION!C16</f>
        <v>#init script for i.MX6UL</v>
      </c>
      <c r="B2" s="330"/>
    </row>
    <row r="3" spans="1:6">
      <c r="A3" s="284" t="s">
        <v>414</v>
      </c>
    </row>
    <row r="4" spans="1:6">
      <c r="A4" s="284" t="s">
        <v>415</v>
      </c>
    </row>
    <row r="5" spans="1:6">
      <c r="A5" s="281" t="str">
        <f>"#  " &amp; 'Revision History'!B3</f>
        <v>#  1.1</v>
      </c>
    </row>
    <row r="6" spans="1:6">
      <c r="A6" s="284" t="s">
        <v>414</v>
      </c>
    </row>
    <row r="8" spans="1:6">
      <c r="A8" s="284" t="s">
        <v>700</v>
      </c>
      <c r="B8" s="285" t="s">
        <v>459</v>
      </c>
      <c r="C8" s="286"/>
      <c r="E8" s="284"/>
      <c r="F8"/>
    </row>
    <row r="9" spans="1:6">
      <c r="B9" s="286"/>
      <c r="C9" s="286"/>
      <c r="E9" s="284"/>
      <c r="F9"/>
    </row>
    <row r="10" spans="1:6">
      <c r="A10" s="284" t="s">
        <v>701</v>
      </c>
      <c r="B10" s="285" t="s">
        <v>459</v>
      </c>
      <c r="C10" s="286"/>
      <c r="E10" s="284"/>
      <c r="F10"/>
    </row>
    <row r="11" spans="1:6">
      <c r="B11" s="286"/>
      <c r="C11" s="286"/>
      <c r="E11" s="284"/>
      <c r="F11"/>
    </row>
    <row r="12" spans="1:6">
      <c r="A12" s="284" t="s">
        <v>702</v>
      </c>
      <c r="B12" s="285" t="s">
        <v>459</v>
      </c>
      <c r="C12" s="286"/>
      <c r="E12" s="284"/>
      <c r="F12"/>
    </row>
    <row r="14" spans="1:6">
      <c r="A14" s="284" t="s">
        <v>414</v>
      </c>
    </row>
    <row r="15" spans="1:6">
      <c r="A15" s="284" t="s">
        <v>514</v>
      </c>
    </row>
    <row r="16" spans="1:6">
      <c r="A16" s="284" t="s">
        <v>414</v>
      </c>
    </row>
    <row r="17" spans="1:2">
      <c r="A17" s="284" t="s">
        <v>513</v>
      </c>
    </row>
    <row r="19" spans="1:2">
      <c r="A19" s="284" t="s">
        <v>414</v>
      </c>
    </row>
    <row r="20" spans="1:2">
      <c r="A20" s="284" t="s">
        <v>416</v>
      </c>
    </row>
    <row r="21" spans="1:2">
      <c r="A21" s="284" t="s">
        <v>414</v>
      </c>
    </row>
    <row r="22" spans="1:2">
      <c r="A22" s="284" t="s">
        <v>460</v>
      </c>
      <c r="B22" s="284" t="s">
        <v>467</v>
      </c>
    </row>
    <row r="23" spans="1:2">
      <c r="A23" s="284" t="s">
        <v>461</v>
      </c>
      <c r="B23" s="284" t="s">
        <v>468</v>
      </c>
    </row>
    <row r="24" spans="1:2">
      <c r="A24" s="284" t="s">
        <v>462</v>
      </c>
      <c r="B24" s="284" t="s">
        <v>469</v>
      </c>
    </row>
    <row r="25" spans="1:2">
      <c r="A25" s="284" t="s">
        <v>463</v>
      </c>
      <c r="B25" s="284" t="s">
        <v>470</v>
      </c>
    </row>
    <row r="26" spans="1:2">
      <c r="A26" s="284" t="s">
        <v>464</v>
      </c>
      <c r="B26" s="284" t="s">
        <v>471</v>
      </c>
    </row>
    <row r="27" spans="1:2">
      <c r="A27" s="284" t="s">
        <v>465</v>
      </c>
      <c r="B27" s="284" t="s">
        <v>472</v>
      </c>
    </row>
    <row r="28" spans="1:2">
      <c r="A28" s="284" t="s">
        <v>466</v>
      </c>
      <c r="B28" s="284" t="s">
        <v>473</v>
      </c>
    </row>
    <row r="30" spans="1:2">
      <c r="A30" s="284" t="s">
        <v>414</v>
      </c>
    </row>
    <row r="31" spans="1:2">
      <c r="A31" s="284" t="s">
        <v>417</v>
      </c>
    </row>
    <row r="32" spans="1:2">
      <c r="A32" s="284" t="s">
        <v>414</v>
      </c>
    </row>
    <row r="33" spans="1:6">
      <c r="A33" s="284" t="s">
        <v>418</v>
      </c>
    </row>
    <row r="34" spans="1:6" s="13" customFormat="1">
      <c r="A34" s="281" t="str">
        <f>"memory set "&amp;REGISTER_CONFIGURATION!H58&amp;" 32 " &amp; REGISTER_CONFIGURATION!I58</f>
        <v>memory set 0x020E04B4 32 0x000C0000</v>
      </c>
      <c r="B34" s="283" t="s">
        <v>405</v>
      </c>
      <c r="C34" s="283"/>
      <c r="D34" s="283"/>
      <c r="E34" s="282"/>
      <c r="F34" s="282"/>
    </row>
    <row r="35" spans="1:6" s="13" customFormat="1">
      <c r="A35" s="281" t="str">
        <f>"memory set "&amp;REGISTER_CONFIGURATION!H36&amp;" 32 " &amp; REGISTER_CONFIGURATION!I36</f>
        <v>memory set 0x020E04AC 32 0x00000000</v>
      </c>
      <c r="B35" s="283" t="s">
        <v>384</v>
      </c>
      <c r="C35" s="283"/>
      <c r="D35" s="283"/>
      <c r="E35" s="282"/>
      <c r="F35" s="282"/>
    </row>
    <row r="37" spans="1:6">
      <c r="A37" s="284" t="s">
        <v>419</v>
      </c>
    </row>
    <row r="38" spans="1:6" s="13" customFormat="1">
      <c r="A38" s="281" t="str">
        <f>"memory set "&amp;REGISTER_CONFIGURATION!H37&amp;" 32 " &amp; REGISTER_CONFIGURATION!I37</f>
        <v>memory set 0x020E027C 32 0x00000030</v>
      </c>
      <c r="B38" s="283" t="s">
        <v>385</v>
      </c>
      <c r="C38" s="283"/>
      <c r="D38" s="283"/>
      <c r="E38" s="282"/>
      <c r="F38" s="282"/>
    </row>
    <row r="40" spans="1:6">
      <c r="A40" s="284" t="s">
        <v>510</v>
      </c>
    </row>
    <row r="41" spans="1:6" s="13" customFormat="1">
      <c r="A41" s="281" t="str">
        <f>"memory set "&amp;REGISTER_CONFIGURATION!H39&amp;" 32 " &amp; REGISTER_CONFIGURATION!I39</f>
        <v>memory set 0x020E0250 32 0x00000030</v>
      </c>
      <c r="B41" s="283" t="s">
        <v>388</v>
      </c>
      <c r="C41" s="283"/>
      <c r="D41" s="283"/>
      <c r="E41" s="282"/>
      <c r="F41" s="282"/>
    </row>
    <row r="42" spans="1:6" s="13" customFormat="1">
      <c r="A42" s="281" t="str">
        <f>"memory set "&amp;REGISTER_CONFIGURATION!H40&amp;" 32 " &amp; REGISTER_CONFIGURATION!I39</f>
        <v>memory set 0x020E024C 32 0x00000030</v>
      </c>
      <c r="B42" s="283" t="s">
        <v>389</v>
      </c>
      <c r="C42" s="283"/>
      <c r="D42" s="283"/>
      <c r="E42" s="282"/>
      <c r="F42" s="282"/>
    </row>
    <row r="43" spans="1:6" s="13" customFormat="1">
      <c r="A43" s="281" t="str">
        <f>"memory set "&amp;REGISTER_CONFIGURATION!H51&amp;" 32 " &amp; REGISTER_CONFIGURATION!I51</f>
        <v>memory set 0x020E0490 32 0x00000030</v>
      </c>
      <c r="B43" s="283" t="s">
        <v>393</v>
      </c>
      <c r="C43" s="283"/>
      <c r="D43" s="283"/>
      <c r="E43" s="282"/>
      <c r="F43" s="282"/>
    </row>
    <row r="44" spans="1:6" s="13" customFormat="1">
      <c r="A44" s="281" t="str">
        <f>"memory set "&amp;REGISTER_CONFIGURATION!H41&amp;" 32 " &amp; REGISTER_CONFIGURATION!I41</f>
        <v>memory set 0x020E0288 32 0x000C0030</v>
      </c>
      <c r="B44" s="283" t="s">
        <v>390</v>
      </c>
      <c r="C44" s="283"/>
      <c r="D44" s="283"/>
      <c r="E44" s="282"/>
      <c r="F44" s="282"/>
    </row>
    <row r="45" spans="1:6" s="13" customFormat="1">
      <c r="A45" s="283" t="s">
        <v>396</v>
      </c>
      <c r="B45" s="283" t="s">
        <v>413</v>
      </c>
      <c r="C45" s="283"/>
      <c r="D45" s="283"/>
      <c r="E45" s="282"/>
      <c r="F45" s="282"/>
    </row>
    <row r="46" spans="1:6" s="13" customFormat="1">
      <c r="A46" s="281" t="str">
        <f>"memory set "&amp;REGISTER_CONFIGURATION!H44&amp;" 32 " &amp; REGISTER_CONFIGURATION!I44</f>
        <v>memory set 0x020E0260 32 0x00000030</v>
      </c>
      <c r="B46" s="283" t="s">
        <v>391</v>
      </c>
      <c r="C46" s="283"/>
      <c r="D46" s="283"/>
      <c r="E46" s="282"/>
      <c r="F46" s="282"/>
    </row>
    <row r="47" spans="1:6" s="13" customFormat="1">
      <c r="A47" s="281" t="str">
        <f>"memory set "&amp;REGISTER_CONFIGURATION!H48&amp;" 32 " &amp; REGISTER_CONFIGURATION!I44</f>
        <v>memory set 0x020E0264 32 0x00000030</v>
      </c>
      <c r="B47" s="283" t="s">
        <v>392</v>
      </c>
      <c r="C47" s="283"/>
      <c r="D47" s="283"/>
      <c r="E47" s="282"/>
      <c r="F47" s="282"/>
    </row>
    <row r="48" spans="1:6" s="13" customFormat="1">
      <c r="A48" s="281" t="str">
        <f>"memory set "&amp;REGISTER_CONFIGURATION!H52&amp;" 32 " &amp; REGISTER_CONFIGURATION!I52</f>
        <v>memory set 0x020E04A0 32 0x00000030</v>
      </c>
      <c r="B48" s="283" t="s">
        <v>394</v>
      </c>
      <c r="C48" s="283"/>
      <c r="D48" s="283"/>
      <c r="E48" s="282"/>
      <c r="F48" s="282"/>
    </row>
    <row r="50" spans="1:6">
      <c r="A50" s="284" t="s">
        <v>420</v>
      </c>
    </row>
    <row r="51" spans="1:6" s="13" customFormat="1">
      <c r="A51" s="281" t="str">
        <f>"memory set "&amp;REGISTER_CONFIGURATION!H53&amp;" 32 " &amp; REGISTER_CONFIGURATION!I53</f>
        <v>memory set 0x020E0494 32 0x00020000</v>
      </c>
      <c r="B51" s="283" t="s">
        <v>397</v>
      </c>
      <c r="C51" s="283"/>
      <c r="D51" s="283"/>
      <c r="E51" s="282"/>
      <c r="F51" s="282"/>
    </row>
    <row r="52" spans="1:6" s="13" customFormat="1">
      <c r="A52" s="281" t="str">
        <f>"memory set "&amp;REGISTER_CONFIGURATION!H54&amp;" 32 " &amp; REGISTER_CONFIGURATION!I54</f>
        <v>memory set 0x020E0280 32 0x00000030</v>
      </c>
      <c r="B52" s="283" t="s">
        <v>398</v>
      </c>
      <c r="C52" s="283"/>
      <c r="D52" s="283"/>
      <c r="E52" s="282"/>
      <c r="F52" s="282"/>
    </row>
    <row r="53" spans="1:6" s="13" customFormat="1">
      <c r="A53" s="281" t="str">
        <f>"memory set "&amp;REGISTER_CONFIGURATION!H55&amp;" 32 " &amp; REGISTER_CONFIGURATION!I54</f>
        <v>memory set 0x020E0284 32 0x00000030</v>
      </c>
      <c r="B53" s="283" t="s">
        <v>399</v>
      </c>
      <c r="C53" s="283"/>
      <c r="D53" s="283"/>
      <c r="E53" s="282"/>
      <c r="F53" s="282"/>
    </row>
    <row r="55" spans="1:6">
      <c r="A55" s="284" t="s">
        <v>421</v>
      </c>
    </row>
    <row r="56" spans="1:6">
      <c r="A56" s="281" t="str">
        <f>"memory set "&amp;REGISTER_CONFIGURATION!H35&amp;" 32 " &amp; REGISTER_CONFIGURATION!I35</f>
        <v>memory set 0x020E04B0 32 0x00020000</v>
      </c>
      <c r="B56" s="283" t="s">
        <v>383</v>
      </c>
      <c r="C56" s="283"/>
      <c r="D56" s="283"/>
    </row>
    <row r="57" spans="1:6" s="13" customFormat="1">
      <c r="A57" s="281" t="str">
        <f>"memory set "&amp;REGISTER_CONFIGURATION!H59&amp;" 32 " &amp; REGISTER_CONFIGURATION!I59</f>
        <v>memory set 0x020E0498 32 0x00000030</v>
      </c>
      <c r="B57" s="283" t="s">
        <v>406</v>
      </c>
      <c r="C57" s="283"/>
      <c r="D57" s="283"/>
      <c r="E57" s="282"/>
      <c r="F57" s="282"/>
    </row>
    <row r="58" spans="1:6" s="13" customFormat="1">
      <c r="A58" s="281" t="str">
        <f>"memory set "&amp;REGISTER_CONFIGURATION!H60&amp;" 32 " &amp; REGISTER_CONFIGURATION!I59</f>
        <v>memory set 0x020E04A4 32 0x00000030</v>
      </c>
      <c r="B58" s="283" t="s">
        <v>407</v>
      </c>
      <c r="C58" s="283"/>
      <c r="D58" s="283"/>
      <c r="E58" s="282"/>
      <c r="F58" s="282"/>
    </row>
    <row r="59" spans="1:6" s="13" customFormat="1">
      <c r="A59" s="281" t="str">
        <f>"memory set "&amp;REGISTER_CONFIGURATION!H61&amp;" 32 " &amp; REGISTER_CONFIGURATION!I61</f>
        <v>memory set 0x020E0244 32 0x00000030</v>
      </c>
      <c r="B59" s="283" t="s">
        <v>408</v>
      </c>
      <c r="C59" s="283"/>
      <c r="D59" s="283"/>
      <c r="E59" s="282"/>
      <c r="F59" s="282"/>
    </row>
    <row r="60" spans="1:6" s="13" customFormat="1">
      <c r="A60" s="281" t="str">
        <f>"memory set "&amp;REGISTER_CONFIGURATION!H62&amp;" 32 " &amp; REGISTER_CONFIGURATION!I61</f>
        <v>memory set 0x020E0248 32 0x00000030</v>
      </c>
      <c r="B60" s="283" t="s">
        <v>409</v>
      </c>
      <c r="C60" s="283"/>
      <c r="D60" s="283"/>
      <c r="E60" s="282"/>
      <c r="F60" s="282"/>
    </row>
    <row r="62" spans="1:6">
      <c r="A62" s="284" t="s">
        <v>414</v>
      </c>
    </row>
    <row r="63" spans="1:6">
      <c r="A63" s="284" t="s">
        <v>422</v>
      </c>
    </row>
    <row r="64" spans="1:6">
      <c r="A64" s="284" t="s">
        <v>414</v>
      </c>
    </row>
    <row r="65" spans="1:4">
      <c r="A65" s="284" t="s">
        <v>423</v>
      </c>
      <c r="B65" s="281" t="str">
        <f>REGISTER_CONFIGURATION!C18</f>
        <v>Micron</v>
      </c>
      <c r="C65" s="283"/>
      <c r="D65" s="283"/>
    </row>
    <row r="66" spans="1:4">
      <c r="A66" s="284" t="s">
        <v>424</v>
      </c>
      <c r="B66" s="472" t="str">
        <f>REGISTER_CONFIGURATION!C19</f>
        <v>MT41K256M16HA-125E</v>
      </c>
      <c r="C66" s="473"/>
      <c r="D66" s="283"/>
    </row>
    <row r="67" spans="1:4">
      <c r="A67" s="284" t="s">
        <v>425</v>
      </c>
      <c r="B67" s="281" t="str">
        <f>REGISTER_CONFIGURATION!C27&amp;"MHz"</f>
        <v>400MHz</v>
      </c>
      <c r="C67" s="283"/>
      <c r="D67" s="283"/>
    </row>
    <row r="68" spans="1:4">
      <c r="A68" s="284" t="s">
        <v>426</v>
      </c>
      <c r="B68" s="307">
        <f>REGISTER_CONFIGURATION!C20</f>
        <v>2</v>
      </c>
    </row>
    <row r="69" spans="1:4">
      <c r="A69" s="284" t="s">
        <v>427</v>
      </c>
      <c r="B69" s="307">
        <f>REGISTER_CONFIGURATION!C21</f>
        <v>1</v>
      </c>
      <c r="C69" s="283"/>
      <c r="D69" s="283"/>
    </row>
    <row r="70" spans="1:4">
      <c r="A70" s="284" t="s">
        <v>428</v>
      </c>
      <c r="B70" s="307">
        <f>REGISTER_CONFIGURATION!C22</f>
        <v>2</v>
      </c>
      <c r="C70" s="283"/>
      <c r="D70" s="283"/>
    </row>
    <row r="71" spans="1:4">
      <c r="A71" s="284" t="s">
        <v>429</v>
      </c>
      <c r="B71" s="307">
        <f>REGISTER_CONFIGURATION!C25</f>
        <v>8</v>
      </c>
    </row>
    <row r="72" spans="1:4">
      <c r="A72" s="284" t="s">
        <v>430</v>
      </c>
      <c r="B72" s="307">
        <f>REGISTER_CONFIGURATION!C23</f>
        <v>14</v>
      </c>
    </row>
    <row r="73" spans="1:4">
      <c r="A73" s="284" t="s">
        <v>431</v>
      </c>
      <c r="B73" s="307">
        <f>REGISTER_CONFIGURATION!C24</f>
        <v>10</v>
      </c>
    </row>
    <row r="74" spans="1:4">
      <c r="A74" s="284" t="s">
        <v>432</v>
      </c>
      <c r="B74" s="307">
        <f>REGISTER_CONFIGURATION!C26</f>
        <v>16</v>
      </c>
    </row>
    <row r="75" spans="1:4">
      <c r="A75" s="284" t="s">
        <v>414</v>
      </c>
    </row>
    <row r="76" spans="1:4">
      <c r="A76" s="284" t="s">
        <v>474</v>
      </c>
      <c r="B76" s="284" t="s">
        <v>475</v>
      </c>
    </row>
    <row r="78" spans="1:4">
      <c r="A78" s="284" t="s">
        <v>477</v>
      </c>
    </row>
    <row r="79" spans="1:4">
      <c r="A79" s="284" t="s">
        <v>478</v>
      </c>
    </row>
    <row r="80" spans="1:4">
      <c r="A80" s="284" t="s">
        <v>477</v>
      </c>
    </row>
    <row r="81" spans="1:6">
      <c r="A81" s="284" t="s">
        <v>476</v>
      </c>
      <c r="B81" s="284" t="s">
        <v>433</v>
      </c>
      <c r="C81" s="283"/>
      <c r="E81" s="38" t="s">
        <v>309</v>
      </c>
      <c r="F81" s="40">
        <f>IF(E81=C81,"",C81)</f>
        <v>0</v>
      </c>
    </row>
    <row r="82" spans="1:6">
      <c r="C82" s="283"/>
      <c r="E82" s="38"/>
      <c r="F82" s="40"/>
    </row>
    <row r="83" spans="1:6">
      <c r="A83" s="281" t="str">
        <f>"memory set "&amp;REGISTER_CONFIGURATION!H282&amp;" 32 " &amp; REGISTER_CONFIGURATION!I282</f>
        <v>memory set 0x021b080c 32 0x00000000</v>
      </c>
      <c r="B83" s="284" t="s">
        <v>479</v>
      </c>
      <c r="C83" s="283"/>
      <c r="E83" s="38"/>
      <c r="F83" s="40"/>
    </row>
    <row r="84" spans="1:6">
      <c r="C84" s="283"/>
      <c r="E84" s="38"/>
      <c r="F84" s="40"/>
    </row>
    <row r="85" spans="1:6">
      <c r="A85" s="281" t="str">
        <f>"memory set "&amp;REGISTER_CONFIGURATION!H274&amp;" 32 " &amp; REGISTER_CONFIGURATION!I274</f>
        <v>memory set 0x021b083c 32 0x41490145</v>
      </c>
      <c r="B85" s="283" t="s">
        <v>480</v>
      </c>
      <c r="C85" s="283"/>
      <c r="D85" s="283"/>
      <c r="E85" s="38" t="s">
        <v>310</v>
      </c>
      <c r="F85" s="40">
        <f t="shared" ref="F85" si="0">IF(E85=C85,"",C85)</f>
        <v>0</v>
      </c>
    </row>
    <row r="86" spans="1:6">
      <c r="C86" s="283"/>
      <c r="E86" s="38"/>
      <c r="F86" s="40"/>
    </row>
    <row r="87" spans="1:6">
      <c r="A87" s="281" t="str">
        <f>"memory set "&amp;REGISTER_CONFIGURATION!H278&amp;" 32 " &amp; REGISTER_CONFIGURATION!I278</f>
        <v>memory set 0x021b0848 32 0x40404546</v>
      </c>
      <c r="B87" s="284" t="s">
        <v>484</v>
      </c>
      <c r="C87" s="283"/>
      <c r="E87" s="38"/>
      <c r="F87" s="40"/>
    </row>
    <row r="88" spans="1:6">
      <c r="C88" s="283"/>
      <c r="E88" s="38"/>
      <c r="F88" s="40"/>
    </row>
    <row r="89" spans="1:6">
      <c r="A89" s="281" t="str">
        <f>"memory set "&amp;REGISTER_CONFIGURATION!H280&amp;" 32 " &amp; REGISTER_CONFIGURATION!I280</f>
        <v>memory set 0x021b0850 32 0x4040524D</v>
      </c>
      <c r="B89" s="284" t="s">
        <v>485</v>
      </c>
      <c r="C89" s="283"/>
      <c r="E89" s="38"/>
      <c r="F89" s="40"/>
    </row>
    <row r="90" spans="1:6">
      <c r="C90" s="283"/>
      <c r="E90" s="38"/>
      <c r="F90" s="40"/>
    </row>
    <row r="91" spans="1:6">
      <c r="A91" s="284" t="s">
        <v>486</v>
      </c>
      <c r="B91" s="284" t="s">
        <v>488</v>
      </c>
      <c r="C91" s="283"/>
      <c r="E91" s="38" t="s">
        <v>50</v>
      </c>
      <c r="F91" s="39" t="s">
        <v>51</v>
      </c>
    </row>
    <row r="92" spans="1:6">
      <c r="A92" s="284" t="s">
        <v>487</v>
      </c>
      <c r="B92" s="284" t="s">
        <v>489</v>
      </c>
      <c r="C92" s="283"/>
      <c r="E92" s="38" t="s">
        <v>12</v>
      </c>
      <c r="F92" s="40">
        <f>IF(E92=C92,"",C92)</f>
        <v>0</v>
      </c>
    </row>
    <row r="93" spans="1:6">
      <c r="C93" s="283"/>
      <c r="E93" s="38"/>
      <c r="F93" s="40"/>
    </row>
    <row r="94" spans="1:6">
      <c r="A94" s="284" t="s">
        <v>490</v>
      </c>
      <c r="B94" s="284" t="s">
        <v>492</v>
      </c>
      <c r="C94" s="283"/>
      <c r="E94" s="38"/>
      <c r="F94" s="40"/>
    </row>
    <row r="95" spans="1:6">
      <c r="A95" s="284" t="s">
        <v>491</v>
      </c>
      <c r="B95" s="284" t="s">
        <v>493</v>
      </c>
      <c r="C95" s="283"/>
      <c r="E95" s="38"/>
      <c r="F95" s="40"/>
    </row>
    <row r="96" spans="1:6">
      <c r="C96" s="283"/>
      <c r="E96" s="38"/>
      <c r="F96" s="40"/>
    </row>
    <row r="97" spans="1:6">
      <c r="A97" s="281" t="str">
        <f>IF(REGISTER_CONFIGURATION!C16="MX6UL", "memory set 0x021B08C0 32 0x00921012", "memory set 0x021B08C0 32 0x00944009")</f>
        <v>memory set 0x021B08C0 32 0x00921012</v>
      </c>
      <c r="B97" s="284" t="s">
        <v>494</v>
      </c>
      <c r="C97" s="283"/>
      <c r="E97" s="38"/>
      <c r="F97" s="40"/>
    </row>
    <row r="98" spans="1:6">
      <c r="C98" s="283"/>
      <c r="E98" s="38"/>
      <c r="F98" s="40"/>
    </row>
    <row r="99" spans="1:6">
      <c r="A99" s="284" t="s">
        <v>434</v>
      </c>
      <c r="C99" s="283"/>
      <c r="E99" s="38"/>
      <c r="F99" s="40"/>
    </row>
    <row r="100" spans="1:6">
      <c r="A100" s="284" t="s">
        <v>495</v>
      </c>
      <c r="B100" s="284" t="s">
        <v>496</v>
      </c>
      <c r="C100" s="283"/>
      <c r="E100" s="38" t="s">
        <v>313</v>
      </c>
      <c r="F100" s="40">
        <f>IF(E100=C100,"",C100)</f>
        <v>0</v>
      </c>
    </row>
    <row r="101" spans="1:6">
      <c r="C101" s="283"/>
      <c r="E101" s="38"/>
      <c r="F101" s="40"/>
    </row>
    <row r="102" spans="1:6">
      <c r="A102" s="284" t="s">
        <v>477</v>
      </c>
      <c r="C102" s="283"/>
      <c r="E102" s="38"/>
      <c r="F102" s="40"/>
    </row>
    <row r="103" spans="1:6">
      <c r="A103" s="284" t="s">
        <v>497</v>
      </c>
      <c r="C103" s="283"/>
      <c r="E103" s="38"/>
      <c r="F103" s="40"/>
    </row>
    <row r="104" spans="1:6">
      <c r="A104" s="284" t="s">
        <v>477</v>
      </c>
      <c r="C104" s="283"/>
      <c r="E104" s="38"/>
      <c r="F104" s="40"/>
    </row>
    <row r="105" spans="1:6">
      <c r="A105" s="281" t="str">
        <f>"memory set "&amp;REGISTER_CONFIGURATION!H75&amp;" 32 " &amp; REGISTER_CONFIGURATION!I75</f>
        <v>memory set 0x021B0004 32 0x0002002D</v>
      </c>
      <c r="B105" s="284" t="s">
        <v>435</v>
      </c>
      <c r="C105" s="283"/>
      <c r="E105" s="38" t="s">
        <v>312</v>
      </c>
      <c r="F105" s="40">
        <f>IF(E105=C105,"",C105)</f>
        <v>0</v>
      </c>
    </row>
    <row r="106" spans="1:6">
      <c r="A106" s="281" t="str">
        <f>"memory set "&amp;REGISTER_CONFIGURATION!H82&amp;" 32 " &amp; REGISTER_CONFIGURATION!I82</f>
        <v>memory set 0x021B0008 32 0x1B333030</v>
      </c>
      <c r="B106" s="284" t="s">
        <v>436</v>
      </c>
      <c r="C106" s="283"/>
      <c r="E106" s="38" t="s">
        <v>314</v>
      </c>
      <c r="F106" s="40">
        <f>IF(E106=C106,"",C106)</f>
        <v>0</v>
      </c>
    </row>
    <row r="107" spans="1:6">
      <c r="A107" s="281" t="str">
        <f>"memory set "&amp;REGISTER_CONFIGURATION!H88&amp;" 32 " &amp; REGISTER_CONFIGURATION!I88</f>
        <v>memory set 0x021B000C 32 0x676B52F3</v>
      </c>
      <c r="B107" s="283" t="s">
        <v>437</v>
      </c>
      <c r="C107" s="283"/>
      <c r="E107" s="38" t="s">
        <v>315</v>
      </c>
      <c r="F107" s="40">
        <f>IF(E107=C107,"",C107)</f>
        <v>0</v>
      </c>
    </row>
    <row r="108" spans="1:6">
      <c r="A108" s="281" t="str">
        <f>"memory set "&amp;REGISTER_CONFIGURATION!H94&amp;" 32 " &amp; REGISTER_CONFIGURATION!I94</f>
        <v>memory set 0x021B0010 32 0xB66D0B63</v>
      </c>
      <c r="B108" s="283" t="s">
        <v>438</v>
      </c>
      <c r="C108" s="283"/>
      <c r="E108" s="38" t="s">
        <v>11</v>
      </c>
      <c r="F108" s="40">
        <f>IF(E108=C108,"",C108)</f>
        <v>0</v>
      </c>
    </row>
    <row r="109" spans="1:6">
      <c r="A109" s="281" t="str">
        <f>"memory set "&amp;REGISTER_CONFIGURATION!H102&amp;" 32 " &amp; REGISTER_CONFIGURATION!I102</f>
        <v>memory set 0x021B0014 32 0x01FF00DB</v>
      </c>
      <c r="B109" s="283" t="s">
        <v>439</v>
      </c>
      <c r="C109" s="283"/>
      <c r="E109" s="38" t="s">
        <v>316</v>
      </c>
      <c r="F109" s="40">
        <f>IF(E109=C109,"",C109)</f>
        <v>0</v>
      </c>
    </row>
    <row r="110" spans="1:6">
      <c r="A110" s="281" t="str">
        <f>"memory set "&amp;REGISTER_CONFIGURATION!H119&amp;" 32 " &amp; REGISTER_CONFIGURATION!I119</f>
        <v>memory set 0x021B0018 32 0x00201740</v>
      </c>
      <c r="B110" s="284" t="s">
        <v>440</v>
      </c>
      <c r="C110" s="283"/>
      <c r="E110" s="38" t="s">
        <v>13</v>
      </c>
      <c r="F110" s="40">
        <f t="shared" ref="F110:F132" si="1">IF(E110=C110,"",C110)</f>
        <v>0</v>
      </c>
    </row>
    <row r="111" spans="1:6">
      <c r="A111" s="284" t="s">
        <v>504</v>
      </c>
      <c r="B111" s="283" t="s">
        <v>441</v>
      </c>
      <c r="C111" s="283"/>
      <c r="E111" s="38" t="s">
        <v>317</v>
      </c>
      <c r="F111" s="40">
        <f t="shared" si="1"/>
        <v>0</v>
      </c>
    </row>
    <row r="112" spans="1:6">
      <c r="A112" s="281" t="str">
        <f>"memory set "&amp;REGISTER_CONFIGURATION!H112&amp;" 32 " &amp; REGISTER_CONFIGURATION!I112</f>
        <v>memory set 0x021B0030 32 0x006B1023</v>
      </c>
      <c r="B112" s="284" t="s">
        <v>442</v>
      </c>
      <c r="C112" s="283"/>
      <c r="E112" s="38" t="s">
        <v>318</v>
      </c>
      <c r="F112" s="40">
        <f t="shared" si="1"/>
        <v>0</v>
      </c>
    </row>
    <row r="113" spans="1:6">
      <c r="A113" s="281" t="str">
        <f>"memory set "&amp;REGISTER_CONFIGURATION!H139&amp;" 32 " &amp; REGISTER_CONFIGURATION!I139</f>
        <v>memory set 0x021B0040 32 0x00000047</v>
      </c>
      <c r="B113" s="284" t="s">
        <v>443</v>
      </c>
      <c r="C113" s="283"/>
      <c r="E113" s="38" t="s">
        <v>319</v>
      </c>
      <c r="F113" s="40">
        <f t="shared" si="1"/>
        <v>0</v>
      </c>
    </row>
    <row r="114" spans="1:6">
      <c r="A114" s="281" t="str">
        <f>"memory set "&amp;REGISTER_CONFIGURATION!H66&amp;" 32 " &amp; REGISTER_CONFIGURATION!I66</f>
        <v>memory set 0x021B0000 32 0x83180000</v>
      </c>
      <c r="B114" s="284" t="s">
        <v>444</v>
      </c>
      <c r="C114" s="283"/>
      <c r="E114" s="38" t="s">
        <v>320</v>
      </c>
      <c r="F114" s="40">
        <f t="shared" si="1"/>
        <v>0</v>
      </c>
    </row>
    <row r="115" spans="1:6" s="13" customFormat="1">
      <c r="A115" s="283"/>
      <c r="B115" s="283"/>
      <c r="C115" s="283"/>
      <c r="D115" s="283"/>
      <c r="E115" s="282"/>
      <c r="F115" s="282"/>
    </row>
    <row r="116" spans="1:6">
      <c r="A116" s="284" t="s">
        <v>508</v>
      </c>
      <c r="C116" s="283"/>
      <c r="E116" s="38"/>
      <c r="F116" s="40"/>
    </row>
    <row r="117" spans="1:6">
      <c r="A117" s="281" t="str">
        <f>"memory set "&amp;REGISTER_CONFIGURATION!H159&amp;" 32 " &amp; REGISTER_CONFIGURATION!I159</f>
        <v>memory set 0x021B001C 32 0x02008032</v>
      </c>
      <c r="B117" s="284" t="s">
        <v>445</v>
      </c>
      <c r="C117" s="283"/>
      <c r="E117" s="38" t="s">
        <v>11</v>
      </c>
      <c r="F117" s="40">
        <f t="shared" si="1"/>
        <v>0</v>
      </c>
    </row>
    <row r="118" spans="1:6">
      <c r="A118" s="281" t="str">
        <f>"memory set "&amp;REGISTER_CONFIGURATION!H171&amp;" 32 " &amp; REGISTER_CONFIGURATION!I171</f>
        <v>memory set 0x021B001C 32 0x00008033</v>
      </c>
      <c r="B118" s="284" t="s">
        <v>446</v>
      </c>
      <c r="C118" s="283"/>
      <c r="E118" s="38" t="s">
        <v>11</v>
      </c>
      <c r="F118" s="40">
        <f t="shared" si="1"/>
        <v>0</v>
      </c>
    </row>
    <row r="119" spans="1:6">
      <c r="A119" s="281" t="str">
        <f>"memory set "&amp;REGISTER_CONFIGURATION!H181&amp;" 32 " &amp; REGISTER_CONFIGURATION!I181</f>
        <v>memory set 0x021B001C 32 0x00048031</v>
      </c>
      <c r="B119" s="284" t="s">
        <v>447</v>
      </c>
      <c r="C119" s="283"/>
      <c r="E119" s="38" t="s">
        <v>11</v>
      </c>
      <c r="F119" s="40">
        <f t="shared" si="1"/>
        <v>0</v>
      </c>
    </row>
    <row r="120" spans="1:6">
      <c r="A120" s="281" t="str">
        <f>"memory set "&amp;REGISTER_CONFIGURATION!H199&amp;" 32 " &amp; REGISTER_CONFIGURATION!I199</f>
        <v>memory set 0x021B001C 32 0x15208030</v>
      </c>
      <c r="B120" s="284" t="s">
        <v>448</v>
      </c>
      <c r="C120" s="283"/>
      <c r="E120" s="38" t="s">
        <v>311</v>
      </c>
      <c r="F120" s="40">
        <f t="shared" si="1"/>
        <v>0</v>
      </c>
    </row>
    <row r="121" spans="1:6">
      <c r="A121" s="284" t="s">
        <v>505</v>
      </c>
      <c r="B121" s="284" t="s">
        <v>449</v>
      </c>
      <c r="C121" s="283"/>
      <c r="E121" s="38"/>
      <c r="F121" s="40"/>
    </row>
    <row r="122" spans="1:6">
      <c r="C122" s="283"/>
      <c r="E122" s="38"/>
      <c r="F122" s="40"/>
    </row>
    <row r="123" spans="1:6">
      <c r="A123" s="284" t="s">
        <v>509</v>
      </c>
      <c r="C123" s="283"/>
      <c r="E123" s="38"/>
      <c r="F123" s="40"/>
    </row>
    <row r="124" spans="1:6">
      <c r="A124" s="281" t="str">
        <f>IF(REGISTER_CONFIGURATION!C21=1,"#memory set ","memory set ")&amp;REGISTER_CONFIGURATION!H217&amp;" 32 "&amp;REGISTER_CONFIGURATION!I217</f>
        <v>#memory set 0x021B001C 32 0x0200803A</v>
      </c>
      <c r="B124" s="284" t="s">
        <v>450</v>
      </c>
      <c r="C124" s="283"/>
      <c r="E124" s="38" t="s">
        <v>11</v>
      </c>
      <c r="F124" s="40">
        <f t="shared" ref="F124:F127" si="2">IF(E124=C124,"",C124)</f>
        <v>0</v>
      </c>
    </row>
    <row r="125" spans="1:6">
      <c r="A125" s="281" t="str">
        <f>IF(REGISTER_CONFIGURATION!C21=1,"#memory set ","memory set ")&amp;REGISTER_CONFIGURATION!H229&amp;" 32 " &amp; REGISTER_CONFIGURATION!I229</f>
        <v>#memory set 0x021B001C 32 0x0000803B</v>
      </c>
      <c r="B125" s="284" t="s">
        <v>451</v>
      </c>
      <c r="C125" s="283"/>
      <c r="E125" s="38" t="s">
        <v>11</v>
      </c>
      <c r="F125" s="40">
        <f t="shared" si="2"/>
        <v>0</v>
      </c>
    </row>
    <row r="126" spans="1:6">
      <c r="A126" s="281" t="str">
        <f>IF(REGISTER_CONFIGURATION!C21=1,"#memory set ","memory set ")&amp;REGISTER_CONFIGURATION!H239&amp;" 32 " &amp; REGISTER_CONFIGURATION!I239</f>
        <v>#memory set 0x021B001C 32 0x00048039</v>
      </c>
      <c r="B126" s="284" t="s">
        <v>452</v>
      </c>
      <c r="C126" s="283"/>
      <c r="E126" s="38" t="s">
        <v>11</v>
      </c>
      <c r="F126" s="40">
        <f t="shared" si="2"/>
        <v>0</v>
      </c>
    </row>
    <row r="127" spans="1:6">
      <c r="A127" s="281" t="str">
        <f>IF(REGISTER_CONFIGURATION!C21=1,"#memory set ","memory set ")&amp;REGISTER_CONFIGURATION!H257&amp;" 32 " &amp; REGISTER_CONFIGURATION!I257</f>
        <v>#memory set 0x021B001C 32 0x15208038</v>
      </c>
      <c r="B127" s="284" t="s">
        <v>453</v>
      </c>
      <c r="C127" s="283"/>
      <c r="E127" s="38" t="s">
        <v>311</v>
      </c>
      <c r="F127" s="40">
        <f t="shared" si="2"/>
        <v>0</v>
      </c>
    </row>
    <row r="128" spans="1:6">
      <c r="A128" s="284" t="str">
        <f>IF(REGISTER_CONFIGURATION!C21=1,"#memory set ","memory set ")&amp; "0x021B001C 32 0x04008048"</f>
        <v>#memory set 0x021B001C 32 0x04008048</v>
      </c>
      <c r="B128" s="284" t="s">
        <v>454</v>
      </c>
      <c r="C128" s="283"/>
      <c r="E128" s="38"/>
      <c r="F128" s="40"/>
    </row>
    <row r="129" spans="1:6">
      <c r="C129" s="283"/>
      <c r="E129" s="38"/>
      <c r="F129" s="40"/>
    </row>
    <row r="130" spans="1:6">
      <c r="A130" s="284" t="s">
        <v>511</v>
      </c>
      <c r="C130" s="283"/>
      <c r="E130" s="38"/>
      <c r="F130" s="40"/>
    </row>
    <row r="131" spans="1:6">
      <c r="A131" s="281" t="str">
        <f>"memory set "&amp;REGISTER_CONFIGURATION!H135&amp;" 32 " &amp; REGISTER_CONFIGURATION!I135</f>
        <v>memory set 0x021B0020 32 0x00000800</v>
      </c>
      <c r="B131" s="284" t="s">
        <v>455</v>
      </c>
      <c r="C131" s="283"/>
      <c r="E131" s="38" t="s">
        <v>310</v>
      </c>
      <c r="F131" s="40">
        <f t="shared" si="1"/>
        <v>0</v>
      </c>
    </row>
    <row r="132" spans="1:6">
      <c r="A132" s="281" t="str">
        <f>"memory set "&amp;REGISTER_CONFIGURATION!H143&amp;" 32 " &amp; REGISTER_CONFIGURATION!I143</f>
        <v>memory set 0x021B0818 32 0x00000227</v>
      </c>
      <c r="B132" s="284" t="s">
        <v>456</v>
      </c>
      <c r="C132" s="283"/>
      <c r="E132" s="38" t="s">
        <v>11</v>
      </c>
      <c r="F132" s="40">
        <f t="shared" si="1"/>
        <v>0</v>
      </c>
    </row>
    <row r="133" spans="1:6">
      <c r="A133" s="281" t="str">
        <f>"memory set "&amp;REGISTER_CONFIGURATION!H75&amp;" 32 " &amp; REGISTER_CONFIGURATION!I79</f>
        <v>memory set 0x021B0004 32 0x0002556D</v>
      </c>
      <c r="B133" s="284" t="s">
        <v>457</v>
      </c>
      <c r="C133" s="283"/>
      <c r="E133" s="38"/>
      <c r="F133" s="40"/>
    </row>
    <row r="134" spans="1:6">
      <c r="A134" s="284" t="s">
        <v>506</v>
      </c>
      <c r="B134" s="284" t="s">
        <v>512</v>
      </c>
      <c r="C134" s="283"/>
      <c r="E134" s="38"/>
      <c r="F134" s="40"/>
    </row>
    <row r="135" spans="1:6">
      <c r="A135" s="284" t="s">
        <v>507</v>
      </c>
      <c r="B135" s="284" t="s">
        <v>458</v>
      </c>
      <c r="C135" s="283"/>
      <c r="E135" s="38" t="s">
        <v>15</v>
      </c>
      <c r="F135" s="40">
        <f t="shared" ref="F135:F153" si="3">IF(E135=C135,"",C135)</f>
        <v>0</v>
      </c>
    </row>
    <row r="136" spans="1:6">
      <c r="C136" s="283"/>
      <c r="E136" s="38" t="s">
        <v>16</v>
      </c>
      <c r="F136" s="40">
        <f t="shared" si="3"/>
        <v>0</v>
      </c>
    </row>
    <row r="137" spans="1:6">
      <c r="C137" s="283"/>
      <c r="E137" s="38" t="s">
        <v>17</v>
      </c>
      <c r="F137" s="40">
        <f t="shared" si="3"/>
        <v>0</v>
      </c>
    </row>
    <row r="138" spans="1:6">
      <c r="C138" s="283"/>
      <c r="E138" s="38" t="s">
        <v>11</v>
      </c>
      <c r="F138" s="40">
        <f t="shared" si="3"/>
        <v>0</v>
      </c>
    </row>
    <row r="139" spans="1:6">
      <c r="C139" s="283"/>
      <c r="E139" s="38" t="s">
        <v>18</v>
      </c>
      <c r="F139" s="40">
        <f t="shared" si="3"/>
        <v>0</v>
      </c>
    </row>
    <row r="140" spans="1:6">
      <c r="C140" s="283"/>
      <c r="E140" s="38" t="s">
        <v>19</v>
      </c>
      <c r="F140" s="40">
        <f t="shared" si="3"/>
        <v>0</v>
      </c>
    </row>
    <row r="141" spans="1:6">
      <c r="C141" s="283"/>
      <c r="E141" s="38" t="s">
        <v>20</v>
      </c>
      <c r="F141" s="40">
        <f t="shared" si="3"/>
        <v>0</v>
      </c>
    </row>
    <row r="142" spans="1:6">
      <c r="C142" s="283"/>
      <c r="E142" s="38" t="s">
        <v>21</v>
      </c>
      <c r="F142" s="40">
        <f t="shared" si="3"/>
        <v>0</v>
      </c>
    </row>
    <row r="143" spans="1:6">
      <c r="C143" s="283"/>
      <c r="E143" s="38" t="s">
        <v>14</v>
      </c>
      <c r="F143" s="40">
        <f t="shared" si="3"/>
        <v>0</v>
      </c>
    </row>
    <row r="144" spans="1:6">
      <c r="C144" s="283"/>
      <c r="E144" s="38" t="s">
        <v>22</v>
      </c>
      <c r="F144" s="40">
        <f t="shared" si="3"/>
        <v>0</v>
      </c>
    </row>
    <row r="145" spans="1:6">
      <c r="C145" s="283"/>
      <c r="E145" s="38" t="s">
        <v>23</v>
      </c>
      <c r="F145" s="40">
        <f t="shared" si="3"/>
        <v>0</v>
      </c>
    </row>
    <row r="146" spans="1:6">
      <c r="C146" s="283"/>
      <c r="E146" s="38" t="s">
        <v>11</v>
      </c>
      <c r="F146" s="40">
        <f t="shared" si="3"/>
        <v>0</v>
      </c>
    </row>
    <row r="147" spans="1:6">
      <c r="C147" s="283"/>
      <c r="E147" s="38" t="s">
        <v>24</v>
      </c>
      <c r="F147" s="40">
        <f t="shared" si="3"/>
        <v>0</v>
      </c>
    </row>
    <row r="148" spans="1:6">
      <c r="C148" s="283"/>
      <c r="E148" s="38" t="s">
        <v>25</v>
      </c>
      <c r="F148" s="40">
        <f t="shared" si="3"/>
        <v>0</v>
      </c>
    </row>
    <row r="149" spans="1:6">
      <c r="C149" s="283"/>
      <c r="E149" s="38" t="s">
        <v>26</v>
      </c>
      <c r="F149" s="40">
        <f t="shared" si="3"/>
        <v>0</v>
      </c>
    </row>
    <row r="150" spans="1:6">
      <c r="C150" s="283"/>
      <c r="E150" s="38" t="s">
        <v>26</v>
      </c>
      <c r="F150" s="40">
        <f t="shared" si="3"/>
        <v>0</v>
      </c>
    </row>
    <row r="151" spans="1:6">
      <c r="C151" s="283"/>
      <c r="E151" s="38" t="s">
        <v>27</v>
      </c>
      <c r="F151" s="40">
        <f t="shared" si="3"/>
        <v>0</v>
      </c>
    </row>
    <row r="152" spans="1:6">
      <c r="C152" s="283"/>
      <c r="E152" s="38" t="s">
        <v>28</v>
      </c>
      <c r="F152" s="40">
        <f t="shared" si="3"/>
        <v>0</v>
      </c>
    </row>
    <row r="153" spans="1:6">
      <c r="C153" s="283"/>
      <c r="E153" s="38" t="s">
        <v>29</v>
      </c>
      <c r="F153" s="40">
        <f t="shared" si="3"/>
        <v>0</v>
      </c>
    </row>
    <row r="155" spans="1:6">
      <c r="A155" s="283"/>
      <c r="B155" s="283"/>
      <c r="C155" s="283"/>
      <c r="D155" s="283"/>
    </row>
    <row r="156" spans="1:6">
      <c r="A156" s="283"/>
      <c r="B156" s="283"/>
      <c r="C156" s="283"/>
      <c r="D156" s="283"/>
    </row>
    <row r="157" spans="1:6">
      <c r="A157" s="283"/>
      <c r="B157" s="283"/>
      <c r="C157" s="283"/>
      <c r="D157" s="283"/>
    </row>
    <row r="158" spans="1:6">
      <c r="A158" s="283"/>
      <c r="B158" s="283"/>
      <c r="C158" s="283"/>
      <c r="D158" s="283"/>
    </row>
    <row r="159" spans="1:6">
      <c r="A159" s="283"/>
      <c r="B159" s="283"/>
      <c r="C159" s="283"/>
      <c r="D159" s="283"/>
    </row>
    <row r="160" spans="1:6">
      <c r="A160" s="283"/>
      <c r="B160" s="283"/>
      <c r="C160" s="283"/>
      <c r="D160" s="283"/>
    </row>
    <row r="161" spans="1:4">
      <c r="A161" s="283"/>
      <c r="B161" s="283"/>
      <c r="C161" s="283"/>
      <c r="D161" s="283"/>
    </row>
    <row r="162" spans="1:4">
      <c r="A162" s="283"/>
      <c r="B162" s="283"/>
      <c r="C162" s="283"/>
      <c r="D162" s="283"/>
    </row>
    <row r="163" spans="1:4">
      <c r="A163" s="283"/>
      <c r="B163" s="283"/>
      <c r="C163" s="283"/>
      <c r="D163" s="283"/>
    </row>
    <row r="164" spans="1:4">
      <c r="A164" s="283"/>
      <c r="B164" s="283"/>
      <c r="C164" s="283"/>
      <c r="D164" s="283"/>
    </row>
    <row r="165" spans="1:4">
      <c r="A165" s="283"/>
      <c r="B165" s="283"/>
      <c r="C165" s="283"/>
      <c r="D165" s="283"/>
    </row>
    <row r="166" spans="1:4">
      <c r="A166" s="283"/>
      <c r="B166" s="283"/>
      <c r="C166" s="283"/>
      <c r="D166" s="283"/>
    </row>
    <row r="167" spans="1:4">
      <c r="A167" s="283"/>
      <c r="B167" s="283"/>
      <c r="C167" s="283"/>
      <c r="D167" s="283"/>
    </row>
    <row r="168" spans="1:4">
      <c r="A168" s="283"/>
      <c r="B168" s="283"/>
      <c r="C168" s="283"/>
      <c r="D168" s="283"/>
    </row>
    <row r="169" spans="1:4">
      <c r="A169" s="283"/>
      <c r="B169" s="283"/>
      <c r="C169" s="283"/>
      <c r="D169" s="283"/>
    </row>
    <row r="170" spans="1:4">
      <c r="A170" s="283"/>
      <c r="B170" s="283"/>
      <c r="C170" s="283"/>
      <c r="D170" s="283"/>
    </row>
    <row r="171" spans="1:4">
      <c r="A171" s="283"/>
      <c r="B171" s="283"/>
      <c r="C171" s="283"/>
      <c r="D171" s="283"/>
    </row>
    <row r="172" spans="1:4">
      <c r="A172" s="283"/>
      <c r="B172" s="283"/>
      <c r="C172" s="283"/>
      <c r="D172" s="283"/>
    </row>
    <row r="173" spans="1:4">
      <c r="A173" s="283"/>
      <c r="B173" s="283"/>
      <c r="C173" s="283"/>
      <c r="D173" s="283"/>
    </row>
    <row r="174" spans="1:4">
      <c r="A174" s="283"/>
      <c r="B174" s="283"/>
      <c r="C174" s="283"/>
      <c r="D174" s="283"/>
    </row>
    <row r="175" spans="1:4">
      <c r="A175" s="283"/>
      <c r="B175" s="283"/>
      <c r="C175" s="283"/>
      <c r="D175" s="283"/>
    </row>
    <row r="176" spans="1:4">
      <c r="A176" s="283"/>
      <c r="B176" s="283"/>
      <c r="C176" s="283"/>
      <c r="D176" s="283"/>
    </row>
    <row r="177" spans="1:4">
      <c r="A177" s="283"/>
      <c r="B177" s="283"/>
      <c r="C177" s="283"/>
      <c r="D177" s="283"/>
    </row>
    <row r="178" spans="1:4">
      <c r="A178" s="283"/>
      <c r="B178" s="283"/>
      <c r="C178" s="283"/>
      <c r="D178" s="283"/>
    </row>
    <row r="179" spans="1:4">
      <c r="A179" s="283"/>
      <c r="B179" s="283"/>
      <c r="C179" s="283"/>
      <c r="D179" s="283"/>
    </row>
    <row r="180" spans="1:4">
      <c r="A180" s="283"/>
      <c r="B180" s="283"/>
      <c r="C180" s="283"/>
      <c r="D180" s="283"/>
    </row>
    <row r="181" spans="1:4">
      <c r="A181" s="283"/>
      <c r="B181" s="283"/>
      <c r="C181" s="283"/>
      <c r="D181" s="283"/>
    </row>
    <row r="182" spans="1:4">
      <c r="A182" s="283"/>
      <c r="B182" s="283"/>
      <c r="C182" s="283"/>
      <c r="D182" s="283"/>
    </row>
    <row r="183" spans="1:4">
      <c r="A183" s="283"/>
      <c r="B183" s="283"/>
      <c r="C183" s="283"/>
      <c r="D183" s="283"/>
    </row>
    <row r="184" spans="1:4">
      <c r="A184" s="283"/>
      <c r="B184" s="283"/>
      <c r="C184" s="283"/>
      <c r="D184" s="283"/>
    </row>
    <row r="185" spans="1:4">
      <c r="A185" s="283"/>
      <c r="B185" s="283"/>
      <c r="C185" s="283"/>
      <c r="D185" s="283"/>
    </row>
    <row r="186" spans="1:4">
      <c r="A186" s="283"/>
      <c r="B186" s="283"/>
      <c r="C186" s="283"/>
      <c r="D186" s="283"/>
    </row>
    <row r="187" spans="1:4">
      <c r="A187" s="283"/>
      <c r="B187" s="283"/>
      <c r="C187" s="283"/>
      <c r="D187" s="283"/>
    </row>
    <row r="188" spans="1:4">
      <c r="A188" s="283"/>
      <c r="B188" s="283"/>
      <c r="C188" s="283"/>
      <c r="D188" s="283"/>
    </row>
    <row r="189" spans="1:4">
      <c r="A189" s="283"/>
      <c r="B189" s="283"/>
      <c r="C189" s="283"/>
      <c r="D189" s="283"/>
    </row>
  </sheetData>
  <mergeCells count="1">
    <mergeCell ref="B66:C66"/>
  </mergeCells>
  <phoneticPr fontId="24"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27"/>
  <sheetViews>
    <sheetView workbookViewId="0">
      <selection activeCell="D8" sqref="D8"/>
    </sheetView>
  </sheetViews>
  <sheetFormatPr defaultRowHeight="13.5"/>
  <cols>
    <col min="1" max="1" width="31.42578125" style="284" customWidth="1"/>
    <col min="2" max="2" width="16.7109375" style="284" customWidth="1"/>
    <col min="3" max="3" width="16" style="284" customWidth="1"/>
    <col min="4" max="9" width="9.140625" style="284"/>
  </cols>
  <sheetData>
    <row r="1" spans="1:4">
      <c r="A1" s="284" t="s">
        <v>529</v>
      </c>
    </row>
    <row r="2" spans="1:4">
      <c r="A2" s="281" t="str">
        <f>"//init script for i." &amp; REGISTER_CONFIGURATION!C16</f>
        <v>//init script for i.MX6UL</v>
      </c>
      <c r="B2" s="330"/>
    </row>
    <row r="3" spans="1:4">
      <c r="A3" s="284" t="s">
        <v>529</v>
      </c>
    </row>
    <row r="4" spans="1:4">
      <c r="A4" s="284" t="s">
        <v>530</v>
      </c>
    </row>
    <row r="5" spans="1:4">
      <c r="A5" s="281" t="str">
        <f>"//  " &amp; 'Revision History'!B3</f>
        <v>//  1.1</v>
      </c>
    </row>
    <row r="6" spans="1:4">
      <c r="A6" s="284" t="s">
        <v>529</v>
      </c>
    </row>
    <row r="8" spans="1:4">
      <c r="A8" s="284" t="s">
        <v>703</v>
      </c>
      <c r="D8" s="284" t="s">
        <v>704</v>
      </c>
    </row>
    <row r="9" spans="1:4">
      <c r="A9" s="284" t="s">
        <v>529</v>
      </c>
    </row>
    <row r="10" spans="1:4">
      <c r="A10" s="284" t="s">
        <v>531</v>
      </c>
      <c r="B10" s="284" t="s">
        <v>532</v>
      </c>
    </row>
    <row r="11" spans="1:4">
      <c r="A11" s="284" t="s">
        <v>529</v>
      </c>
    </row>
    <row r="12" spans="1:4">
      <c r="A12" s="284" t="s">
        <v>545</v>
      </c>
      <c r="B12" s="284" t="s">
        <v>533</v>
      </c>
      <c r="C12" s="284" t="s">
        <v>534</v>
      </c>
    </row>
    <row r="14" spans="1:4">
      <c r="A14" s="284" t="s">
        <v>529</v>
      </c>
    </row>
    <row r="15" spans="1:4">
      <c r="A15" s="284" t="s">
        <v>535</v>
      </c>
    </row>
    <row r="16" spans="1:4">
      <c r="A16" s="284" t="s">
        <v>529</v>
      </c>
    </row>
    <row r="17" spans="1:4">
      <c r="A17" s="284" t="s">
        <v>536</v>
      </c>
      <c r="B17" s="284" t="s">
        <v>537</v>
      </c>
      <c r="C17" s="284" t="s">
        <v>538</v>
      </c>
      <c r="D17" s="284" t="s">
        <v>546</v>
      </c>
    </row>
    <row r="18" spans="1:4">
      <c r="A18" s="284" t="s">
        <v>536</v>
      </c>
      <c r="B18" s="284" t="s">
        <v>539</v>
      </c>
      <c r="C18" s="284" t="s">
        <v>538</v>
      </c>
      <c r="D18" s="284" t="s">
        <v>547</v>
      </c>
    </row>
    <row r="19" spans="1:4">
      <c r="A19" s="284" t="s">
        <v>536</v>
      </c>
      <c r="B19" s="284" t="s">
        <v>540</v>
      </c>
      <c r="C19" s="284" t="s">
        <v>538</v>
      </c>
      <c r="D19" s="284" t="s">
        <v>548</v>
      </c>
    </row>
    <row r="20" spans="1:4">
      <c r="A20" s="284" t="s">
        <v>536</v>
      </c>
      <c r="B20" s="284" t="s">
        <v>541</v>
      </c>
      <c r="C20" s="284" t="s">
        <v>538</v>
      </c>
      <c r="D20" s="284" t="s">
        <v>549</v>
      </c>
    </row>
    <row r="21" spans="1:4">
      <c r="A21" s="284" t="s">
        <v>536</v>
      </c>
      <c r="B21" s="284" t="s">
        <v>542</v>
      </c>
      <c r="C21" s="284" t="s">
        <v>538</v>
      </c>
      <c r="D21" s="284" t="s">
        <v>550</v>
      </c>
    </row>
    <row r="22" spans="1:4">
      <c r="A22" s="284" t="s">
        <v>536</v>
      </c>
      <c r="B22" s="284" t="s">
        <v>543</v>
      </c>
      <c r="C22" s="284" t="s">
        <v>538</v>
      </c>
      <c r="D22" s="284" t="s">
        <v>551</v>
      </c>
    </row>
    <row r="23" spans="1:4">
      <c r="A23" s="284" t="s">
        <v>536</v>
      </c>
      <c r="B23" s="284" t="s">
        <v>544</v>
      </c>
      <c r="C23" s="284" t="s">
        <v>538</v>
      </c>
      <c r="D23" s="284" t="s">
        <v>552</v>
      </c>
    </row>
    <row r="25" spans="1:4">
      <c r="A25" s="284" t="s">
        <v>529</v>
      </c>
    </row>
    <row r="26" spans="1:4">
      <c r="A26" s="284" t="s">
        <v>553</v>
      </c>
    </row>
    <row r="27" spans="1:4">
      <c r="A27" s="284" t="s">
        <v>529</v>
      </c>
    </row>
    <row r="28" spans="1:4">
      <c r="A28" s="284" t="s">
        <v>554</v>
      </c>
    </row>
    <row r="29" spans="1:4">
      <c r="A29" s="284" t="s">
        <v>536</v>
      </c>
      <c r="B29" s="283" t="s">
        <v>577</v>
      </c>
      <c r="C29" s="281" t="str">
        <f>INDEX(REGISTER_CONFIGURATION!I$35:I$282, MATCH(LEFT(B29,10),REGISTER_CONFIGURATION!H$35:H$282,0),1)</f>
        <v>0x000C0000</v>
      </c>
      <c r="D29" s="284" t="s">
        <v>579</v>
      </c>
    </row>
    <row r="30" spans="1:4">
      <c r="A30" s="284" t="s">
        <v>536</v>
      </c>
      <c r="B30" s="283" t="s">
        <v>578</v>
      </c>
      <c r="C30" s="281" t="str">
        <f>INDEX(REGISTER_CONFIGURATION!I$35:I$282, MATCH(LEFT(B30,10),REGISTER_CONFIGURATION!H$35:H$282,0),1)</f>
        <v>0x00000000</v>
      </c>
      <c r="D30" s="284" t="s">
        <v>556</v>
      </c>
    </row>
    <row r="31" spans="1:4">
      <c r="B31" s="283"/>
    </row>
    <row r="32" spans="1:4">
      <c r="A32" s="284" t="s">
        <v>557</v>
      </c>
      <c r="B32" s="283"/>
    </row>
    <row r="33" spans="1:4">
      <c r="A33" s="284" t="s">
        <v>536</v>
      </c>
      <c r="B33" s="283" t="s">
        <v>580</v>
      </c>
      <c r="C33" s="281" t="str">
        <f>INDEX(REGISTER_CONFIGURATION!I$35:I$282, MATCH(LEFT(B33,10),REGISTER_CONFIGURATION!H$35:H$282,0),1)</f>
        <v>0x00000030</v>
      </c>
      <c r="D33" s="284" t="s">
        <v>558</v>
      </c>
    </row>
    <row r="34" spans="1:4">
      <c r="B34" s="283"/>
    </row>
    <row r="35" spans="1:4">
      <c r="A35" s="284" t="s">
        <v>559</v>
      </c>
      <c r="B35" s="283"/>
    </row>
    <row r="36" spans="1:4">
      <c r="A36" s="284" t="s">
        <v>536</v>
      </c>
      <c r="B36" s="283" t="s">
        <v>581</v>
      </c>
      <c r="C36" s="281" t="str">
        <f>INDEX(REGISTER_CONFIGURATION!I$35:I$282, MATCH(LEFT(B36,10),REGISTER_CONFIGURATION!H$35:H$282,0),1)</f>
        <v>0x00000030</v>
      </c>
      <c r="D36" s="284" t="s">
        <v>560</v>
      </c>
    </row>
    <row r="37" spans="1:4">
      <c r="A37" s="284" t="s">
        <v>536</v>
      </c>
      <c r="B37" s="283" t="s">
        <v>582</v>
      </c>
      <c r="C37" s="281" t="str">
        <f>INDEX(REGISTER_CONFIGURATION!I$35:I$282, MATCH(LEFT(B36,10),REGISTER_CONFIGURATION!H$35:H$282,0),1)</f>
        <v>0x00000030</v>
      </c>
      <c r="D37" s="284" t="s">
        <v>561</v>
      </c>
    </row>
    <row r="38" spans="1:4">
      <c r="A38" s="284" t="s">
        <v>536</v>
      </c>
      <c r="B38" s="283" t="s">
        <v>588</v>
      </c>
      <c r="C38" s="281" t="str">
        <f>INDEX(REGISTER_CONFIGURATION!I$35:I$282, MATCH(LEFT(B38,10),REGISTER_CONFIGURATION!H$35:H$282,0),1)</f>
        <v>0x00000030</v>
      </c>
      <c r="D38" s="284" t="s">
        <v>566</v>
      </c>
    </row>
    <row r="39" spans="1:4">
      <c r="A39" s="284" t="s">
        <v>536</v>
      </c>
      <c r="B39" s="283" t="s">
        <v>583</v>
      </c>
      <c r="C39" s="281" t="str">
        <f>INDEX(REGISTER_CONFIGURATION!I$35:I$282, MATCH(LEFT(B39,10),REGISTER_CONFIGURATION!H$35:H$282,0),1)</f>
        <v>0x000C0030</v>
      </c>
      <c r="D39" s="284" t="s">
        <v>562</v>
      </c>
    </row>
    <row r="40" spans="1:4">
      <c r="A40" s="284" t="s">
        <v>536</v>
      </c>
      <c r="B40" s="283" t="s">
        <v>584</v>
      </c>
      <c r="C40" s="283" t="s">
        <v>11</v>
      </c>
      <c r="D40" s="284" t="s">
        <v>563</v>
      </c>
    </row>
    <row r="41" spans="1:4">
      <c r="A41" s="284" t="s">
        <v>536</v>
      </c>
      <c r="B41" s="283" t="s">
        <v>585</v>
      </c>
      <c r="C41" s="281" t="str">
        <f>INDEX(REGISTER_CONFIGURATION!I$35:I$282, MATCH(LEFT(B41,10),REGISTER_CONFIGURATION!H$35:H$282,0),1)</f>
        <v>0x00000030</v>
      </c>
      <c r="D41" s="284" t="s">
        <v>564</v>
      </c>
    </row>
    <row r="42" spans="1:4">
      <c r="A42" s="284" t="s">
        <v>536</v>
      </c>
      <c r="B42" s="283" t="s">
        <v>586</v>
      </c>
      <c r="C42" s="281" t="str">
        <f>INDEX(REGISTER_CONFIGURATION!I$35:I$282, MATCH(LEFT(B41,10),REGISTER_CONFIGURATION!H$35:H$282,0),1)</f>
        <v>0x00000030</v>
      </c>
      <c r="D42" s="284" t="s">
        <v>565</v>
      </c>
    </row>
    <row r="43" spans="1:4">
      <c r="A43" s="284" t="s">
        <v>536</v>
      </c>
      <c r="B43" s="283" t="s">
        <v>587</v>
      </c>
      <c r="C43" s="281" t="str">
        <f>INDEX(REGISTER_CONFIGURATION!I$35:I$282, MATCH(LEFT(B43,10),REGISTER_CONFIGURATION!H$35:H$282,0),1)</f>
        <v>0x00000030</v>
      </c>
      <c r="D43" s="284" t="s">
        <v>567</v>
      </c>
    </row>
    <row r="44" spans="1:4">
      <c r="B44" s="283"/>
    </row>
    <row r="45" spans="1:4">
      <c r="A45" s="284" t="s">
        <v>568</v>
      </c>
      <c r="B45" s="283"/>
    </row>
    <row r="46" spans="1:4">
      <c r="A46" s="284" t="s">
        <v>536</v>
      </c>
      <c r="B46" s="283" t="s">
        <v>589</v>
      </c>
      <c r="C46" s="281" t="str">
        <f>INDEX(REGISTER_CONFIGURATION!I$35:I$282, MATCH(LEFT(B46,10),REGISTER_CONFIGURATION!H$35:H$282,0),1)</f>
        <v>0x00020000</v>
      </c>
      <c r="D46" s="284" t="s">
        <v>569</v>
      </c>
    </row>
    <row r="47" spans="1:4">
      <c r="A47" s="284" t="s">
        <v>536</v>
      </c>
      <c r="B47" s="283" t="s">
        <v>590</v>
      </c>
      <c r="C47" s="281" t="str">
        <f>INDEX(REGISTER_CONFIGURATION!I$35:I$282, MATCH(LEFT(B47,10),REGISTER_CONFIGURATION!H$35:H$282,0),1)</f>
        <v>0x00000030</v>
      </c>
      <c r="D47" s="284" t="s">
        <v>570</v>
      </c>
    </row>
    <row r="48" spans="1:4">
      <c r="A48" s="284" t="s">
        <v>536</v>
      </c>
      <c r="B48" s="283" t="s">
        <v>681</v>
      </c>
      <c r="C48" s="281" t="str">
        <f>INDEX(REGISTER_CONFIGURATION!I$35:I$282, MATCH(LEFT(B47,10),REGISTER_CONFIGURATION!H$35:H$282,0),1)</f>
        <v>0x00000030</v>
      </c>
      <c r="D48" s="284" t="s">
        <v>571</v>
      </c>
    </row>
    <row r="49" spans="1:4">
      <c r="B49" s="283"/>
    </row>
    <row r="50" spans="1:4">
      <c r="A50" s="284" t="s">
        <v>572</v>
      </c>
      <c r="B50" s="283"/>
    </row>
    <row r="51" spans="1:4">
      <c r="A51" s="284" t="s">
        <v>536</v>
      </c>
      <c r="B51" s="283" t="s">
        <v>591</v>
      </c>
      <c r="C51" s="281" t="str">
        <f>INDEX(REGISTER_CONFIGURATION!I$35:I$282, MATCH(LEFT(B51,10),REGISTER_CONFIGURATION!H$35:H$282,0),1)</f>
        <v>0x00020000</v>
      </c>
      <c r="D51" s="284" t="s">
        <v>555</v>
      </c>
    </row>
    <row r="52" spans="1:4">
      <c r="A52" s="284" t="s">
        <v>536</v>
      </c>
      <c r="B52" s="283" t="s">
        <v>592</v>
      </c>
      <c r="C52" s="281" t="str">
        <f>INDEX(REGISTER_CONFIGURATION!I$35:I$282, MATCH(LEFT(B52,10),REGISTER_CONFIGURATION!H$35:H$282,0),1)</f>
        <v>0x00000030</v>
      </c>
      <c r="D52" s="284" t="s">
        <v>573</v>
      </c>
    </row>
    <row r="53" spans="1:4">
      <c r="A53" s="284" t="s">
        <v>536</v>
      </c>
      <c r="B53" s="283" t="s">
        <v>593</v>
      </c>
      <c r="C53" s="281" t="str">
        <f>INDEX(REGISTER_CONFIGURATION!I$35:I$282, MATCH(LEFT(B52,10),REGISTER_CONFIGURATION!H$35:H$282,0),1)</f>
        <v>0x00000030</v>
      </c>
      <c r="D53" s="284" t="s">
        <v>574</v>
      </c>
    </row>
    <row r="54" spans="1:4">
      <c r="A54" s="284" t="s">
        <v>536</v>
      </c>
      <c r="B54" s="283" t="s">
        <v>594</v>
      </c>
      <c r="C54" s="281" t="str">
        <f>INDEX(REGISTER_CONFIGURATION!I$35:I$282, MATCH(LEFT(B54,10),REGISTER_CONFIGURATION!H$35:H$282,0),1)</f>
        <v>0x00000030</v>
      </c>
      <c r="D54" s="284" t="s">
        <v>575</v>
      </c>
    </row>
    <row r="55" spans="1:4">
      <c r="A55" s="284" t="s">
        <v>536</v>
      </c>
      <c r="B55" s="283" t="s">
        <v>595</v>
      </c>
      <c r="C55" s="281" t="str">
        <f>INDEX(REGISTER_CONFIGURATION!I$35:I$282, MATCH(LEFT(B54,10),REGISTER_CONFIGURATION!H$35:H$282,0),1)</f>
        <v>0x00000030</v>
      </c>
      <c r="D55" s="284" t="s">
        <v>576</v>
      </c>
    </row>
    <row r="57" spans="1:4">
      <c r="A57" s="284" t="s">
        <v>529</v>
      </c>
    </row>
    <row r="58" spans="1:4">
      <c r="A58" s="284" t="s">
        <v>596</v>
      </c>
    </row>
    <row r="59" spans="1:4">
      <c r="A59" s="284" t="s">
        <v>529</v>
      </c>
    </row>
    <row r="60" spans="1:4">
      <c r="A60" s="284" t="s">
        <v>597</v>
      </c>
      <c r="B60" s="321" t="str">
        <f>REGISTER_CONFIGURATION!C18</f>
        <v>Micron</v>
      </c>
      <c r="C60" s="283"/>
      <c r="D60" s="283"/>
    </row>
    <row r="61" spans="1:4">
      <c r="A61" s="284" t="s">
        <v>598</v>
      </c>
      <c r="B61" s="321" t="str">
        <f>REGISTER_CONFIGURATION!C19</f>
        <v>MT41K256M16HA-125E</v>
      </c>
      <c r="C61" s="320"/>
      <c r="D61" s="283"/>
    </row>
    <row r="62" spans="1:4">
      <c r="A62" s="284" t="s">
        <v>599</v>
      </c>
      <c r="B62" s="281" t="str">
        <f>REGISTER_CONFIGURATION!C27&amp;"MHz"</f>
        <v>400MHz</v>
      </c>
      <c r="C62" s="283"/>
      <c r="D62" s="283"/>
    </row>
    <row r="63" spans="1:4">
      <c r="A63" s="284" t="s">
        <v>600</v>
      </c>
      <c r="B63" s="307">
        <f>REGISTER_CONFIGURATION!C20</f>
        <v>2</v>
      </c>
    </row>
    <row r="64" spans="1:4">
      <c r="A64" s="284" t="s">
        <v>601</v>
      </c>
      <c r="B64" s="307">
        <f>REGISTER_CONFIGURATION!C21</f>
        <v>1</v>
      </c>
      <c r="C64" s="283"/>
      <c r="D64" s="283"/>
    </row>
    <row r="65" spans="1:5">
      <c r="A65" s="284" t="s">
        <v>602</v>
      </c>
      <c r="B65" s="307">
        <f>REGISTER_CONFIGURATION!C22</f>
        <v>2</v>
      </c>
      <c r="C65" s="283"/>
      <c r="D65" s="283"/>
    </row>
    <row r="66" spans="1:5">
      <c r="A66" s="284" t="s">
        <v>603</v>
      </c>
      <c r="B66" s="307">
        <f>REGISTER_CONFIGURATION!C25</f>
        <v>8</v>
      </c>
    </row>
    <row r="67" spans="1:5">
      <c r="A67" s="284" t="s">
        <v>604</v>
      </c>
      <c r="B67" s="307">
        <f>REGISTER_CONFIGURATION!C23</f>
        <v>14</v>
      </c>
    </row>
    <row r="68" spans="1:5">
      <c r="A68" s="284" t="s">
        <v>605</v>
      </c>
      <c r="B68" s="307">
        <f>REGISTER_CONFIGURATION!C24</f>
        <v>10</v>
      </c>
    </row>
    <row r="69" spans="1:5">
      <c r="A69" s="284" t="s">
        <v>606</v>
      </c>
      <c r="B69" s="307">
        <f>REGISTER_CONFIGURATION!C26</f>
        <v>16</v>
      </c>
    </row>
    <row r="70" spans="1:5">
      <c r="A70" s="284" t="s">
        <v>529</v>
      </c>
    </row>
    <row r="71" spans="1:5">
      <c r="A71" s="284" t="s">
        <v>536</v>
      </c>
      <c r="B71" s="284" t="s">
        <v>607</v>
      </c>
      <c r="C71" s="283" t="s">
        <v>608</v>
      </c>
      <c r="D71" s="283" t="s">
        <v>682</v>
      </c>
    </row>
    <row r="73" spans="1:5">
      <c r="A73" s="284" t="s">
        <v>609</v>
      </c>
    </row>
    <row r="74" spans="1:5">
      <c r="A74" s="284" t="s">
        <v>610</v>
      </c>
    </row>
    <row r="75" spans="1:5">
      <c r="A75" s="284" t="s">
        <v>609</v>
      </c>
    </row>
    <row r="76" spans="1:5">
      <c r="A76" s="284" t="s">
        <v>536</v>
      </c>
      <c r="B76" s="284" t="s">
        <v>611</v>
      </c>
      <c r="C76" s="283" t="s">
        <v>612</v>
      </c>
      <c r="D76" s="284" t="s">
        <v>613</v>
      </c>
    </row>
    <row r="78" spans="1:5">
      <c r="A78" s="284" t="s">
        <v>536</v>
      </c>
      <c r="B78" s="284" t="s">
        <v>614</v>
      </c>
      <c r="C78" s="281" t="str">
        <f>INDEX(REGISTER_CONFIGURATION!I$35:I$282, MATCH(LEFT(B78,10),REGISTER_CONFIGURATION!H$35:H$282,0),1)</f>
        <v>0x00000000</v>
      </c>
      <c r="D78" s="284" t="s">
        <v>615</v>
      </c>
      <c r="E78" s="283"/>
    </row>
    <row r="79" spans="1:5">
      <c r="A79" s="284" t="s">
        <v>536</v>
      </c>
      <c r="B79" s="284" t="s">
        <v>616</v>
      </c>
      <c r="C79" s="281" t="str">
        <f>INDEX(REGISTER_CONFIGURATION!I$35:I$282, MATCH(LEFT(B79,10),REGISTER_CONFIGURATION!H$35:H$282,0),1)</f>
        <v>0x41490145</v>
      </c>
      <c r="D79" s="284" t="s">
        <v>627</v>
      </c>
    </row>
    <row r="80" spans="1:5">
      <c r="A80" s="284" t="s">
        <v>536</v>
      </c>
      <c r="B80" s="284" t="s">
        <v>617</v>
      </c>
      <c r="C80" s="281" t="str">
        <f>INDEX(REGISTER_CONFIGURATION!I$35:I$282, MATCH(LEFT(B80,10),REGISTER_CONFIGURATION!H$35:H$282,0),1)</f>
        <v>0x40404546</v>
      </c>
      <c r="D80" s="284" t="s">
        <v>628</v>
      </c>
    </row>
    <row r="81" spans="1:5">
      <c r="A81" s="284" t="s">
        <v>536</v>
      </c>
      <c r="B81" s="284" t="s">
        <v>618</v>
      </c>
      <c r="C81" s="281" t="str">
        <f>INDEX(REGISTER_CONFIGURATION!I$35:I$282, MATCH(LEFT(B81,10),REGISTER_CONFIGURATION!H$35:H$282,0),1)</f>
        <v>0x4040524D</v>
      </c>
      <c r="D81" s="284" t="s">
        <v>629</v>
      </c>
    </row>
    <row r="83" spans="1:5">
      <c r="A83" s="284" t="s">
        <v>536</v>
      </c>
      <c r="B83" s="284" t="s">
        <v>619</v>
      </c>
      <c r="C83" s="283" t="s">
        <v>620</v>
      </c>
      <c r="D83" s="284" t="s">
        <v>623</v>
      </c>
      <c r="E83" s="283"/>
    </row>
    <row r="84" spans="1:5">
      <c r="A84" s="284" t="s">
        <v>536</v>
      </c>
      <c r="B84" s="284" t="s">
        <v>621</v>
      </c>
      <c r="C84" s="283" t="s">
        <v>620</v>
      </c>
      <c r="D84" s="284" t="s">
        <v>624</v>
      </c>
      <c r="E84" s="283"/>
    </row>
    <row r="85" spans="1:5">
      <c r="C85" s="283"/>
      <c r="E85" s="283"/>
    </row>
    <row r="86" spans="1:5">
      <c r="A86" s="284" t="s">
        <v>536</v>
      </c>
      <c r="B86" s="284" t="s">
        <v>685</v>
      </c>
      <c r="C86" s="284" t="s">
        <v>622</v>
      </c>
      <c r="D86" s="284" t="s">
        <v>625</v>
      </c>
      <c r="E86" s="283"/>
    </row>
    <row r="87" spans="1:5">
      <c r="A87" s="284" t="s">
        <v>536</v>
      </c>
      <c r="B87" s="284" t="s">
        <v>686</v>
      </c>
      <c r="C87" s="284" t="s">
        <v>622</v>
      </c>
      <c r="D87" s="284" t="s">
        <v>626</v>
      </c>
      <c r="E87" s="283"/>
    </row>
    <row r="89" spans="1:5">
      <c r="A89" s="284" t="s">
        <v>536</v>
      </c>
      <c r="B89" s="284" t="s">
        <v>630</v>
      </c>
      <c r="C89" s="281" t="str">
        <f>IF(REGISTER_CONFIGURATION!C16="MX6UL", "0x00921012", "0x00944009")</f>
        <v>0x00921012</v>
      </c>
      <c r="D89" s="284" t="s">
        <v>631</v>
      </c>
    </row>
    <row r="91" spans="1:5">
      <c r="A91" s="284" t="s">
        <v>632</v>
      </c>
    </row>
    <row r="92" spans="1:5">
      <c r="A92" s="284" t="s">
        <v>536</v>
      </c>
      <c r="B92" s="284" t="s">
        <v>633</v>
      </c>
      <c r="C92" s="283" t="s">
        <v>634</v>
      </c>
      <c r="D92" s="284" t="s">
        <v>635</v>
      </c>
    </row>
    <row r="94" spans="1:5">
      <c r="A94" s="284" t="s">
        <v>609</v>
      </c>
    </row>
    <row r="95" spans="1:5">
      <c r="A95" s="284" t="s">
        <v>636</v>
      </c>
    </row>
    <row r="96" spans="1:5">
      <c r="A96" s="284" t="s">
        <v>609</v>
      </c>
    </row>
    <row r="97" spans="1:4">
      <c r="A97" s="284" t="s">
        <v>536</v>
      </c>
      <c r="B97" s="284" t="s">
        <v>637</v>
      </c>
      <c r="C97" s="281" t="str">
        <f>INDEX(REGISTER_CONFIGURATION!I$35:I$282, MATCH(LEFT(B97,10),REGISTER_CONFIGURATION!H$35:H$282,0),1)</f>
        <v>0x0002002D</v>
      </c>
      <c r="D97" s="284" t="s">
        <v>638</v>
      </c>
    </row>
    <row r="98" spans="1:4">
      <c r="A98" s="284" t="s">
        <v>536</v>
      </c>
      <c r="B98" s="284" t="s">
        <v>639</v>
      </c>
      <c r="C98" s="281" t="str">
        <f>INDEX(REGISTER_CONFIGURATION!I$35:I$282, MATCH(LEFT(B98,10),REGISTER_CONFIGURATION!H$35:H$282,0),1)</f>
        <v>0x1B333030</v>
      </c>
      <c r="D98" s="284" t="s">
        <v>640</v>
      </c>
    </row>
    <row r="99" spans="1:4">
      <c r="A99" s="284" t="s">
        <v>536</v>
      </c>
      <c r="B99" s="284" t="s">
        <v>641</v>
      </c>
      <c r="C99" s="281" t="str">
        <f>INDEX(REGISTER_CONFIGURATION!I$35:I$282, MATCH(LEFT(B99,10),REGISTER_CONFIGURATION!H$35:H$282,0),1)</f>
        <v>0x676B52F3</v>
      </c>
      <c r="D99" s="283" t="s">
        <v>642</v>
      </c>
    </row>
    <row r="100" spans="1:4">
      <c r="A100" s="284" t="s">
        <v>536</v>
      </c>
      <c r="B100" s="284" t="s">
        <v>643</v>
      </c>
      <c r="C100" s="281" t="str">
        <f>INDEX(REGISTER_CONFIGURATION!I$35:I$282, MATCH(LEFT(B100,10),REGISTER_CONFIGURATION!H$35:H$282,0),1)</f>
        <v>0xB66D0B63</v>
      </c>
      <c r="D100" s="283" t="s">
        <v>644</v>
      </c>
    </row>
    <row r="101" spans="1:4">
      <c r="A101" s="284" t="s">
        <v>536</v>
      </c>
      <c r="B101" s="284" t="s">
        <v>645</v>
      </c>
      <c r="C101" s="281" t="str">
        <f>INDEX(REGISTER_CONFIGURATION!I$35:I$282, MATCH(LEFT(B101,10),REGISTER_CONFIGURATION!H$35:H$282,0),1)</f>
        <v>0x01FF00DB</v>
      </c>
      <c r="D101" s="283" t="s">
        <v>646</v>
      </c>
    </row>
    <row r="102" spans="1:4">
      <c r="A102" s="284" t="s">
        <v>536</v>
      </c>
      <c r="B102" s="284" t="s">
        <v>647</v>
      </c>
      <c r="C102" s="281" t="str">
        <f>INDEX(REGISTER_CONFIGURATION!I$35:I$282, MATCH(LEFT(B102,10),REGISTER_CONFIGURATION!H$35:H$282,0),1)</f>
        <v>0x00201740</v>
      </c>
      <c r="D102" s="284" t="s">
        <v>648</v>
      </c>
    </row>
    <row r="103" spans="1:4">
      <c r="A103" s="284" t="s">
        <v>536</v>
      </c>
      <c r="B103" s="284" t="s">
        <v>649</v>
      </c>
      <c r="C103" s="283" t="s">
        <v>650</v>
      </c>
      <c r="D103" s="283" t="s">
        <v>651</v>
      </c>
    </row>
    <row r="104" spans="1:4">
      <c r="A104" s="284" t="s">
        <v>536</v>
      </c>
      <c r="B104" s="284" t="s">
        <v>652</v>
      </c>
      <c r="C104" s="281" t="str">
        <f>INDEX(REGISTER_CONFIGURATION!I$35:I$282, MATCH(LEFT(B104,10),REGISTER_CONFIGURATION!H$35:H$282,0),1)</f>
        <v>0x006B1023</v>
      </c>
      <c r="D104" s="284" t="s">
        <v>653</v>
      </c>
    </row>
    <row r="105" spans="1:4">
      <c r="A105" s="284" t="s">
        <v>536</v>
      </c>
      <c r="B105" s="284" t="s">
        <v>654</v>
      </c>
      <c r="C105" s="281" t="str">
        <f>INDEX(REGISTER_CONFIGURATION!I$35:I$282, MATCH(LEFT(B105,10),REGISTER_CONFIGURATION!H$35:H$282,0),1)</f>
        <v>0x00000047</v>
      </c>
      <c r="D105" s="284" t="s">
        <v>655</v>
      </c>
    </row>
    <row r="106" spans="1:4">
      <c r="A106" s="284" t="s">
        <v>536</v>
      </c>
      <c r="B106" s="284" t="s">
        <v>656</v>
      </c>
      <c r="C106" s="281" t="str">
        <f>INDEX(REGISTER_CONFIGURATION!I$35:I$282, MATCH(LEFT(B106,10),REGISTER_CONFIGURATION!H$35:H$282,0),1)</f>
        <v>0x83180000</v>
      </c>
      <c r="D106" s="284" t="s">
        <v>657</v>
      </c>
    </row>
    <row r="108" spans="1:4">
      <c r="A108" s="284" t="s">
        <v>658</v>
      </c>
    </row>
    <row r="109" spans="1:4">
      <c r="A109" s="284" t="s">
        <v>536</v>
      </c>
      <c r="B109" s="284" t="s">
        <v>607</v>
      </c>
      <c r="C109" s="281" t="str">
        <f>REGISTER_CONFIGURATION!I159</f>
        <v>0x02008032</v>
      </c>
      <c r="D109" s="284" t="s">
        <v>659</v>
      </c>
    </row>
    <row r="110" spans="1:4">
      <c r="A110" s="284" t="s">
        <v>536</v>
      </c>
      <c r="B110" s="284" t="s">
        <v>607</v>
      </c>
      <c r="C110" s="281" t="str">
        <f>REGISTER_CONFIGURATION!I171</f>
        <v>0x00008033</v>
      </c>
      <c r="D110" s="284" t="s">
        <v>660</v>
      </c>
    </row>
    <row r="111" spans="1:4">
      <c r="A111" s="284" t="s">
        <v>536</v>
      </c>
      <c r="B111" s="284" t="s">
        <v>607</v>
      </c>
      <c r="C111" s="281" t="str">
        <f>REGISTER_CONFIGURATION!I181</f>
        <v>0x00048031</v>
      </c>
      <c r="D111" s="284" t="s">
        <v>661</v>
      </c>
    </row>
    <row r="112" spans="1:4">
      <c r="A112" s="284" t="s">
        <v>536</v>
      </c>
      <c r="B112" s="284" t="s">
        <v>607</v>
      </c>
      <c r="C112" s="281" t="str">
        <f>REGISTER_CONFIGURATION!I199</f>
        <v>0x15208030</v>
      </c>
      <c r="D112" s="284" t="s">
        <v>662</v>
      </c>
    </row>
    <row r="113" spans="1:4">
      <c r="A113" s="284" t="s">
        <v>536</v>
      </c>
      <c r="B113" s="284" t="s">
        <v>607</v>
      </c>
      <c r="C113" s="283" t="s">
        <v>663</v>
      </c>
      <c r="D113" s="284" t="s">
        <v>664</v>
      </c>
    </row>
    <row r="115" spans="1:4">
      <c r="A115" s="284" t="s">
        <v>665</v>
      </c>
    </row>
    <row r="116" spans="1:4">
      <c r="A116" s="284" t="str">
        <f>IF(REGISTER_CONFIGURATION!C21=1,"//setmem /32 ","setmem /32")</f>
        <v xml:space="preserve">//setmem /32 </v>
      </c>
      <c r="B116" s="284" t="s">
        <v>607</v>
      </c>
      <c r="C116" s="281" t="str">
        <f>REGISTER_CONFIGURATION!I217</f>
        <v>0x0200803A</v>
      </c>
      <c r="D116" s="284" t="s">
        <v>667</v>
      </c>
    </row>
    <row r="117" spans="1:4">
      <c r="A117" s="284" t="str">
        <f>IF(REGISTER_CONFIGURATION!C21=1,"//setmem /32 ","setmem /32")</f>
        <v xml:space="preserve">//setmem /32 </v>
      </c>
      <c r="B117" s="284" t="s">
        <v>607</v>
      </c>
      <c r="C117" s="281" t="str">
        <f>REGISTER_CONFIGURATION!I229</f>
        <v>0x0000803B</v>
      </c>
      <c r="D117" s="284" t="s">
        <v>668</v>
      </c>
    </row>
    <row r="118" spans="1:4">
      <c r="A118" s="284" t="str">
        <f>IF(REGISTER_CONFIGURATION!C21=1,"//setmem /32 ","setmem /32")</f>
        <v xml:space="preserve">//setmem /32 </v>
      </c>
      <c r="B118" s="284" t="s">
        <v>607</v>
      </c>
      <c r="C118" s="281" t="str">
        <f>REGISTER_CONFIGURATION!I239</f>
        <v>0x00048039</v>
      </c>
      <c r="D118" s="284" t="s">
        <v>669</v>
      </c>
    </row>
    <row r="119" spans="1:4">
      <c r="A119" s="284" t="str">
        <f>IF(REGISTER_CONFIGURATION!C21=1,"//setmem /32 ","setmem /32")</f>
        <v xml:space="preserve">//setmem /32 </v>
      </c>
      <c r="B119" s="284" t="s">
        <v>607</v>
      </c>
      <c r="C119" s="281" t="str">
        <f>REGISTER_CONFIGURATION!I257</f>
        <v>0x15208038</v>
      </c>
      <c r="D119" s="284" t="s">
        <v>670</v>
      </c>
    </row>
    <row r="120" spans="1:4">
      <c r="A120" s="284" t="str">
        <f>IF(REGISTER_CONFIGURATION!C21=1,"//setmem /32 ","setmem /32")</f>
        <v xml:space="preserve">//setmem /32 </v>
      </c>
      <c r="B120" s="284" t="s">
        <v>607</v>
      </c>
      <c r="C120" s="284" t="s">
        <v>666</v>
      </c>
      <c r="D120" s="284" t="s">
        <v>671</v>
      </c>
    </row>
    <row r="122" spans="1:4">
      <c r="A122" s="284" t="s">
        <v>672</v>
      </c>
    </row>
    <row r="123" spans="1:4">
      <c r="A123" s="284" t="s">
        <v>536</v>
      </c>
      <c r="B123" s="284" t="s">
        <v>673</v>
      </c>
      <c r="C123" s="281" t="str">
        <f>INDEX(REGISTER_CONFIGURATION!I$35:I$282, MATCH(LEFT(B123,10),REGISTER_CONFIGURATION!H$35:H$282,0),1)</f>
        <v>0x00000800</v>
      </c>
      <c r="D123" s="284" t="s">
        <v>674</v>
      </c>
    </row>
    <row r="124" spans="1:4">
      <c r="A124" s="284" t="s">
        <v>536</v>
      </c>
      <c r="B124" s="284" t="s">
        <v>675</v>
      </c>
      <c r="C124" s="281" t="str">
        <f>INDEX(REGISTER_CONFIGURATION!I$35:I$282, MATCH(LEFT(B124,10),REGISTER_CONFIGURATION!H$35:H$282,0),1)</f>
        <v>0x00000227</v>
      </c>
      <c r="D124" s="284" t="s">
        <v>676</v>
      </c>
    </row>
    <row r="125" spans="1:4">
      <c r="A125" s="284" t="s">
        <v>536</v>
      </c>
      <c r="B125" s="284" t="s">
        <v>637</v>
      </c>
      <c r="C125" s="281" t="str">
        <f>REGISTER_CONFIGURATION!I79</f>
        <v>0x0002556D</v>
      </c>
      <c r="D125" s="284" t="s">
        <v>677</v>
      </c>
    </row>
    <row r="126" spans="1:4">
      <c r="A126" s="284" t="s">
        <v>536</v>
      </c>
      <c r="B126" s="284" t="s">
        <v>678</v>
      </c>
      <c r="C126" s="283" t="s">
        <v>679</v>
      </c>
      <c r="D126" s="284" t="s">
        <v>684</v>
      </c>
    </row>
    <row r="127" spans="1:4">
      <c r="A127" s="284" t="s">
        <v>536</v>
      </c>
      <c r="B127" s="284" t="s">
        <v>607</v>
      </c>
      <c r="C127" s="283" t="s">
        <v>11</v>
      </c>
      <c r="D127" s="284" t="s">
        <v>680</v>
      </c>
    </row>
  </sheetData>
  <phoneticPr fontId="24"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5</vt:i4>
      </vt:variant>
      <vt:variant>
        <vt:lpstr>命名范围</vt:lpstr>
      </vt:variant>
      <vt:variant>
        <vt:i4>2</vt:i4>
      </vt:variant>
    </vt:vector>
  </HeadingPairs>
  <TitlesOfParts>
    <vt:vector size="7" baseType="lpstr">
      <vt:lpstr>How To Use</vt:lpstr>
      <vt:lpstr>Revision History</vt:lpstr>
      <vt:lpstr>REGISTER_CONFIGURATION</vt:lpstr>
      <vt:lpstr>DStream .ds file</vt:lpstr>
      <vt:lpstr>RealView .inc file</vt:lpstr>
      <vt:lpstr>'DStream .ds file'!Codex_LPDDR1_200MHz.inc</vt:lpstr>
      <vt:lpstr>REGISTER_CONFIGURATION!Print_Area</vt:lpstr>
    </vt:vector>
  </TitlesOfParts>
  <Company>Freescale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ra7694</dc:creator>
  <cp:lastModifiedBy>TaterLi</cp:lastModifiedBy>
  <cp:lastPrinted>2009-11-19T19:37:47Z</cp:lastPrinted>
  <dcterms:created xsi:type="dcterms:W3CDTF">2008-07-23T13:35:02Z</dcterms:created>
  <dcterms:modified xsi:type="dcterms:W3CDTF">2022-11-11T14:26:13Z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